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tables/table2.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6.xml" ContentType="application/vnd.openxmlformats-officedocument.spreadsheetml.comments+xml"/>
  <Override PartName="/xl/threadedComments/threadedComment6.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charts/chart3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updateLinks="never" codeName="ThisWorkbook"/>
  <mc:AlternateContent xmlns:mc="http://schemas.openxmlformats.org/markup-compatibility/2006">
    <mc:Choice Requires="x15">
      <x15ac:absPath xmlns:x15ac="http://schemas.microsoft.com/office/spreadsheetml/2010/11/ac" url="https://ineraab-my.sharepoint.com/personal/amanda_sundberg_inera_se/Documents/Nyttorealisering/Kalkyler/NK 1177 E-id/"/>
    </mc:Choice>
  </mc:AlternateContent>
  <xr:revisionPtr revIDLastSave="606" documentId="8_{D7DAB6A2-7D4D-4DE4-88C9-DB861E1D9BEB}" xr6:coauthVersionLast="47" xr6:coauthVersionMax="47" xr10:uidLastSave="{BCE21C00-AF0E-4C5E-98A5-6E33A0A9345D}"/>
  <bookViews>
    <workbookView xWindow="-120" yWindow="-120" windowWidth="29040" windowHeight="15840" activeTab="5" xr2:uid="{F5898191-2CB1-4F2A-8A32-1602F0BF716B}"/>
  </bookViews>
  <sheets>
    <sheet name="Försättsblad" sheetId="14" r:id="rId1"/>
    <sheet name="Räkna på nyttor" sheetId="18" r:id="rId2"/>
    <sheet name="Nyttor" sheetId="5" r:id="rId3"/>
    <sheet name="Räkna på kostnader" sheetId="20" r:id="rId4"/>
    <sheet name="Kostnader" sheetId="17" r:id="rId5"/>
    <sheet name="Nyttokalkyl" sheetId="8" r:id="rId6"/>
    <sheet name="Admin" sheetId="7" state="hidden" r:id="rId7"/>
  </sheets>
  <definedNames>
    <definedName name="_xlcn.WorksheetConnection_Nyttokalkyl_mall_2.0.1.xlsxKostnader" hidden="1">Kostnader[]</definedName>
    <definedName name="_xlcn.WorksheetConnection_Nyttokalkyl_mall_2.0.1.xlsxKostnadskategori" hidden="1">Kostnadskategori[]</definedName>
    <definedName name="_xlcn.WorksheetConnection_Nyttokalkyl_mall_2.0.1.xlsxNyttokategori" hidden="1">Nyttokategori[]</definedName>
    <definedName name="_xlcn.WorksheetConnection_Nyttokalkyl_mall_2.0.1.xlsxNyttor" hidden="1">Nyttor[]</definedName>
    <definedName name="Diskonteringsränta">Försättsblad!$C$9</definedName>
    <definedName name="NettoNytta">Nyttokalkyl!$J$141</definedName>
    <definedName name="Startår">Försättsblad!$C$8</definedName>
    <definedName name="TotalKostnad">Nyttokalkyl!$J$131</definedName>
    <definedName name="TotalNettoNytta">Nyttokalkyl!$J$141</definedName>
    <definedName name="TotalNytta">Nyttokalkyl!$J$126</definedName>
    <definedName name="Utsnitt_Intressent2">#N/A</definedName>
    <definedName name="Utsnitt_Intressent3">#N/A</definedName>
  </definedNames>
  <calcPr calcId="191029"/>
  <pivotCaches>
    <pivotCache cacheId="278" r:id="rId8"/>
    <pivotCache cacheId="279" r:id="rId9"/>
    <pivotCache cacheId="280" r:id="rId10"/>
    <pivotCache cacheId="281" r:id="rId11"/>
    <pivotCache cacheId="282" r:id="rId12"/>
    <pivotCache cacheId="283" r:id="rId13"/>
    <pivotCache cacheId="284" r:id="rId14"/>
    <pivotCache cacheId="285" r:id="rId15"/>
    <pivotCache cacheId="286" r:id="rId16"/>
    <pivotCache cacheId="287" r:id="rId17"/>
    <pivotCache cacheId="288" r:id="rId18"/>
    <pivotCache cacheId="289" r:id="rId19"/>
    <pivotCache cacheId="290" r:id="rId20"/>
    <pivotCache cacheId="291" r:id="rId21"/>
    <pivotCache cacheId="292" r:id="rId22"/>
    <pivotCache cacheId="293" r:id="rId23"/>
  </pivotCaches>
  <extLst>
    <ext xmlns:x14="http://schemas.microsoft.com/office/spreadsheetml/2009/9/main" uri="{876F7934-8845-4945-9796-88D515C7AA90}">
      <x14:pivotCaches>
        <pivotCache cacheId="294" r:id="rId24"/>
      </x14:pivotCaches>
    </ext>
    <ext xmlns:x14="http://schemas.microsoft.com/office/spreadsheetml/2009/9/main" uri="{BBE1A952-AA13-448e-AADC-164F8A28A991}">
      <x14:slicerCaches>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yttor" name="Nyttor" connection="WorksheetConnection_Nyttokalkyl_mall_2.0.1.xlsx!Nyttor"/>
          <x15:modelTable id="Nyttokategori" name="Nyttokategori" connection="WorksheetConnection_Nyttokalkyl_mall_2.0.1.xlsx!Nyttokategori"/>
          <x15:modelTable id="Kostnadskategori" name="Kostnadskategori" connection="WorksheetConnection_Nyttokalkyl_mall_2.0.1.xlsx!Kostnadskategori"/>
          <x15:modelTable id="Kostnader" name="Kostnader" connection="WorksheetConnection_Nyttokalkyl_mall_2.0.1.xlsx!Kostnader"/>
        </x15:modelTables>
        <x15:modelRelationships>
          <x15:modelRelationship fromTable="Nyttor" fromColumn="Nyttokategori" toTable="Nyttokategori" toColumn="Nyttokategori"/>
          <x15:modelRelationship fromTable="Kostnader" fromColumn="Kostnadskategori" toTable="Kostnadskategori" toColumn="Kostnadskategori"/>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2" i="20" l="1"/>
  <c r="M42" i="20"/>
  <c r="N42" i="20"/>
  <c r="O42" i="20"/>
  <c r="L43" i="20"/>
  <c r="M43" i="20"/>
  <c r="N43" i="20"/>
  <c r="O43" i="20"/>
  <c r="L44" i="20"/>
  <c r="M44" i="20"/>
  <c r="N44" i="20"/>
  <c r="O44" i="20"/>
  <c r="K44" i="20"/>
  <c r="K43" i="20"/>
  <c r="K42" i="20"/>
  <c r="F45" i="20"/>
  <c r="E45" i="20"/>
  <c r="D45" i="20"/>
  <c r="J91" i="20"/>
  <c r="J90" i="20"/>
  <c r="J89" i="20"/>
  <c r="E92" i="20"/>
  <c r="F92" i="20"/>
  <c r="D92" i="20"/>
  <c r="K66" i="20"/>
  <c r="K67" i="20"/>
  <c r="K68" i="20"/>
  <c r="J22" i="20"/>
  <c r="J21" i="20"/>
  <c r="J20" i="20"/>
  <c r="K20" i="18"/>
  <c r="K21" i="18"/>
  <c r="K22" i="18"/>
  <c r="F57" i="20"/>
  <c r="F58" i="20" s="1"/>
  <c r="F69" i="20" s="1"/>
  <c r="E57" i="20"/>
  <c r="E58" i="20" s="1"/>
  <c r="E69" i="20" s="1"/>
  <c r="O67" i="20" s="1"/>
  <c r="M21" i="18"/>
  <c r="N21" i="18"/>
  <c r="O21" i="18"/>
  <c r="M22" i="18"/>
  <c r="N22" i="18"/>
  <c r="O22" i="18"/>
  <c r="L22" i="18"/>
  <c r="L21" i="18"/>
  <c r="E10" i="18"/>
  <c r="F10" i="18"/>
  <c r="E11" i="18"/>
  <c r="F11" i="18"/>
  <c r="F13" i="18" s="1"/>
  <c r="F15" i="18" s="1"/>
  <c r="E13" i="18"/>
  <c r="E15" i="18"/>
  <c r="E17" i="18" s="1"/>
  <c r="M20" i="18"/>
  <c r="N20" i="18"/>
  <c r="O20" i="18"/>
  <c r="L20" i="18"/>
  <c r="M66" i="20"/>
  <c r="N66" i="20"/>
  <c r="O66" i="20"/>
  <c r="L66" i="20"/>
  <c r="D69" i="20"/>
  <c r="D58" i="20"/>
  <c r="D57" i="20"/>
  <c r="F23" i="20"/>
  <c r="E23" i="20"/>
  <c r="D23" i="20"/>
  <c r="D21" i="18"/>
  <c r="D23" i="18" s="1"/>
  <c r="D19" i="18"/>
  <c r="D17" i="18"/>
  <c r="D15" i="18"/>
  <c r="D11" i="18"/>
  <c r="D13" i="18"/>
  <c r="D10" i="18"/>
  <c r="L25" i="7"/>
  <c r="M25" i="7" s="1"/>
  <c r="N25" i="7" s="1"/>
  <c r="L128" i="7"/>
  <c r="O150" i="7"/>
  <c r="Q32" i="7"/>
  <c r="N27" i="7"/>
  <c r="O151" i="7"/>
  <c r="M107" i="7"/>
  <c r="O109" i="7"/>
  <c r="O31" i="7"/>
  <c r="AS124" i="7"/>
  <c r="N28" i="7"/>
  <c r="L32" i="7"/>
  <c r="N31" i="7"/>
  <c r="N151" i="7"/>
  <c r="O110" i="7"/>
  <c r="P33" i="7"/>
  <c r="O27" i="7"/>
  <c r="O34" i="7"/>
  <c r="M152" i="7"/>
  <c r="L106" i="7"/>
  <c r="AG125" i="7"/>
  <c r="M33" i="7"/>
  <c r="AG124" i="7"/>
  <c r="Q149" i="7"/>
  <c r="M151" i="7"/>
  <c r="Q150" i="7"/>
  <c r="M28" i="7"/>
  <c r="N150" i="7"/>
  <c r="Q27" i="7"/>
  <c r="P152" i="7"/>
  <c r="O108" i="7"/>
  <c r="L151" i="7"/>
  <c r="M32" i="7"/>
  <c r="M84" i="7"/>
  <c r="O85" i="7"/>
  <c r="L107" i="7"/>
  <c r="AT124" i="7"/>
  <c r="Q151" i="7"/>
  <c r="L105" i="7"/>
  <c r="P34" i="7"/>
  <c r="L33" i="7"/>
  <c r="N34" i="7"/>
  <c r="L27" i="7"/>
  <c r="M31" i="7"/>
  <c r="Q33" i="7"/>
  <c r="P31" i="7"/>
  <c r="M106" i="7"/>
  <c r="Q31" i="7"/>
  <c r="L129" i="7"/>
  <c r="P149" i="7"/>
  <c r="AT125" i="7"/>
  <c r="AT126" i="7"/>
  <c r="N33" i="7"/>
  <c r="AH125" i="7"/>
  <c r="N149" i="7"/>
  <c r="P151" i="7"/>
  <c r="Q28" i="7"/>
  <c r="AS125" i="7"/>
  <c r="N32" i="7"/>
  <c r="Q34" i="7"/>
  <c r="AG126" i="7"/>
  <c r="M150" i="7"/>
  <c r="M105" i="7"/>
  <c r="P27" i="7"/>
  <c r="O149" i="7"/>
  <c r="M27" i="7"/>
  <c r="M129" i="7"/>
  <c r="L150" i="7"/>
  <c r="Q152" i="7"/>
  <c r="L34" i="7"/>
  <c r="P32" i="7"/>
  <c r="O33" i="7"/>
  <c r="L31" i="7"/>
  <c r="AH124" i="7"/>
  <c r="L130" i="7"/>
  <c r="M128" i="7"/>
  <c r="M34" i="7"/>
  <c r="O32" i="7"/>
  <c r="O28" i="7"/>
  <c r="M149" i="7"/>
  <c r="L149" i="7"/>
  <c r="P150" i="7"/>
  <c r="O152" i="7"/>
  <c r="L28" i="7"/>
  <c r="L152" i="7"/>
  <c r="M130" i="7"/>
  <c r="AH126" i="7"/>
  <c r="N152" i="7"/>
  <c r="AS126" i="7"/>
  <c r="P28" i="7"/>
  <c r="L84" i="7"/>
  <c r="M67" i="20" l="1"/>
  <c r="N67" i="20"/>
  <c r="L67" i="20"/>
  <c r="M68" i="20"/>
  <c r="N68" i="20"/>
  <c r="O68" i="20"/>
  <c r="L68" i="20"/>
  <c r="F17" i="18"/>
  <c r="F19" i="18"/>
  <c r="F21" i="18" s="1"/>
  <c r="F23" i="18" s="1"/>
  <c r="E19" i="18"/>
  <c r="E21" i="18" s="1"/>
  <c r="E23" i="18" s="1"/>
  <c r="N30" i="7"/>
  <c r="L147" i="7"/>
  <c r="M147" i="7" s="1"/>
  <c r="N147" i="7" s="1"/>
  <c r="O147" i="7" s="1"/>
  <c r="P147" i="7" s="1"/>
  <c r="Q147" i="7" s="1"/>
  <c r="L148" i="7"/>
  <c r="M148" i="7" s="1"/>
  <c r="N148" i="7" s="1"/>
  <c r="O148" i="7" s="1"/>
  <c r="P148" i="7" s="1"/>
  <c r="Q148" i="7" s="1"/>
  <c r="N26" i="7"/>
  <c r="M26" i="7"/>
  <c r="L26" i="7"/>
  <c r="O25" i="7"/>
  <c r="P25" i="7" s="1"/>
  <c r="Q25" i="7" s="1"/>
  <c r="R27" i="7" l="1"/>
  <c r="Q26" i="7" l="1"/>
  <c r="P26" i="7"/>
  <c r="O26" i="7"/>
  <c r="R28" i="7"/>
  <c r="R26" i="7" s="1"/>
  <c r="AH46" i="7" l="1"/>
  <c r="AI46" i="7" s="1"/>
  <c r="AJ46" i="7" s="1"/>
  <c r="AK46" i="7" s="1"/>
  <c r="AL46" i="7" s="1"/>
  <c r="AM46" i="7" l="1"/>
  <c r="R36" i="8"/>
  <c r="AU126" i="7" l="1"/>
  <c r="AU125" i="7"/>
  <c r="AU124" i="7"/>
  <c r="AI126" i="7"/>
  <c r="AI125" i="7"/>
  <c r="AI124" i="7"/>
  <c r="L74" i="7" l="1"/>
  <c r="AT47" i="7"/>
  <c r="AU47" i="7" s="1"/>
  <c r="AV47" i="7" s="1"/>
  <c r="AW47" i="7" s="1"/>
  <c r="AX47" i="7" s="1"/>
  <c r="AY47" i="7" s="1"/>
  <c r="L50" i="7"/>
  <c r="M50" i="7" s="1"/>
  <c r="N50" i="7" s="1"/>
  <c r="O50" i="7" s="1"/>
  <c r="P50" i="7" s="1"/>
  <c r="Q50" i="7" s="1"/>
  <c r="B2" i="8"/>
  <c r="P24" i="17"/>
  <c r="H24" i="17"/>
  <c r="E24" i="17"/>
  <c r="D24" i="17"/>
  <c r="C24" i="17"/>
  <c r="Y23" i="17"/>
  <c r="U23" i="17"/>
  <c r="E23" i="17"/>
  <c r="D23" i="17"/>
  <c r="C23" i="17"/>
  <c r="Z22" i="17"/>
  <c r="V22" i="17"/>
  <c r="R22" i="17"/>
  <c r="N22" i="17"/>
  <c r="J22" i="17"/>
  <c r="F22" i="17"/>
  <c r="E22" i="17"/>
  <c r="D22" i="17"/>
  <c r="C22" i="17"/>
  <c r="W21" i="17"/>
  <c r="S21" i="17"/>
  <c r="O21" i="17"/>
  <c r="K21" i="17"/>
  <c r="G21" i="17"/>
  <c r="E21" i="17"/>
  <c r="D21" i="17"/>
  <c r="C21" i="17"/>
  <c r="P20" i="17"/>
  <c r="H20" i="17"/>
  <c r="E20" i="17"/>
  <c r="D20" i="17"/>
  <c r="C20" i="17"/>
  <c r="Y19" i="17"/>
  <c r="U19" i="17"/>
  <c r="E19" i="17"/>
  <c r="D19" i="17"/>
  <c r="C19" i="17"/>
  <c r="Z18" i="17"/>
  <c r="V18" i="17"/>
  <c r="R18" i="17"/>
  <c r="N18" i="17"/>
  <c r="J18" i="17"/>
  <c r="F18" i="17"/>
  <c r="E18" i="17"/>
  <c r="D18" i="17"/>
  <c r="C18" i="17"/>
  <c r="W17" i="17"/>
  <c r="S17" i="17"/>
  <c r="O17" i="17"/>
  <c r="K17" i="17"/>
  <c r="G17" i="17"/>
  <c r="E17" i="17"/>
  <c r="D17" i="17"/>
  <c r="C17" i="17"/>
  <c r="P16" i="17"/>
  <c r="H16" i="17"/>
  <c r="E16" i="17"/>
  <c r="D16" i="17"/>
  <c r="C16" i="17"/>
  <c r="Y15" i="17"/>
  <c r="U15" i="17"/>
  <c r="E15" i="17"/>
  <c r="D15" i="17"/>
  <c r="C15" i="17"/>
  <c r="Y14" i="17"/>
  <c r="S14" i="17"/>
  <c r="N14" i="17"/>
  <c r="H14" i="17"/>
  <c r="E14" i="17"/>
  <c r="D14" i="17"/>
  <c r="C14" i="17"/>
  <c r="W13" i="17"/>
  <c r="R13" i="17"/>
  <c r="K13" i="17"/>
  <c r="G13" i="17"/>
  <c r="E13" i="17"/>
  <c r="D13" i="17"/>
  <c r="C13" i="17"/>
  <c r="Z12" i="17"/>
  <c r="U12" i="17"/>
  <c r="P12" i="17"/>
  <c r="J12" i="17"/>
  <c r="F12" i="17"/>
  <c r="E12" i="17"/>
  <c r="D12" i="17"/>
  <c r="C12" i="17"/>
  <c r="Y11" i="17"/>
  <c r="S11" i="17"/>
  <c r="N11" i="17"/>
  <c r="H11" i="17"/>
  <c r="E11" i="17"/>
  <c r="D11" i="17"/>
  <c r="C11" i="17"/>
  <c r="E10" i="17"/>
  <c r="D10" i="17"/>
  <c r="C10" i="17"/>
  <c r="U8" i="17"/>
  <c r="V8" i="17" s="1"/>
  <c r="W8" i="17" s="1"/>
  <c r="X8" i="17" s="1"/>
  <c r="Y8" i="17" s="1"/>
  <c r="Z8" i="17" s="1"/>
  <c r="N8" i="17"/>
  <c r="O8" i="17" s="1"/>
  <c r="P8" i="17" s="1"/>
  <c r="Q8" i="17" s="1"/>
  <c r="R8" i="17" s="1"/>
  <c r="S8" i="17" s="1"/>
  <c r="F8" i="17"/>
  <c r="G8" i="17" s="1"/>
  <c r="H8" i="17" s="1"/>
  <c r="I8" i="17" s="1"/>
  <c r="J8" i="17" s="1"/>
  <c r="K8" i="17" s="1"/>
  <c r="K6" i="17"/>
  <c r="S24" i="17" s="1"/>
  <c r="J6" i="17"/>
  <c r="Y22" i="17" s="1"/>
  <c r="I6" i="17"/>
  <c r="Q23" i="17" s="1"/>
  <c r="H6" i="17"/>
  <c r="W24" i="17" s="1"/>
  <c r="G6" i="17"/>
  <c r="O24" i="17" s="1"/>
  <c r="F6" i="17"/>
  <c r="U22" i="17" s="1"/>
  <c r="B2" i="17"/>
  <c r="P344" i="20"/>
  <c r="P343" i="20"/>
  <c r="P342" i="20"/>
  <c r="J341" i="20"/>
  <c r="K341" i="20" s="1"/>
  <c r="L341" i="20" s="1"/>
  <c r="M341" i="20" s="1"/>
  <c r="N341" i="20" s="1"/>
  <c r="O341" i="20" s="1"/>
  <c r="P321" i="20"/>
  <c r="P320" i="20"/>
  <c r="P319" i="20"/>
  <c r="J318" i="20"/>
  <c r="K318" i="20" s="1"/>
  <c r="L318" i="20" s="1"/>
  <c r="M318" i="20" s="1"/>
  <c r="N318" i="20" s="1"/>
  <c r="O318" i="20" s="1"/>
  <c r="P298" i="20"/>
  <c r="P297" i="20"/>
  <c r="P296" i="20"/>
  <c r="J295" i="20"/>
  <c r="K295" i="20" s="1"/>
  <c r="L295" i="20" s="1"/>
  <c r="M295" i="20" s="1"/>
  <c r="N295" i="20" s="1"/>
  <c r="O295" i="20" s="1"/>
  <c r="P275" i="20"/>
  <c r="P274" i="20"/>
  <c r="P273" i="20"/>
  <c r="J272" i="20"/>
  <c r="K272" i="20" s="1"/>
  <c r="L272" i="20" s="1"/>
  <c r="M272" i="20" s="1"/>
  <c r="N272" i="20" s="1"/>
  <c r="O272" i="20" s="1"/>
  <c r="P252" i="20"/>
  <c r="P251" i="20"/>
  <c r="P250" i="20"/>
  <c r="J249" i="20"/>
  <c r="K249" i="20" s="1"/>
  <c r="L249" i="20" s="1"/>
  <c r="M249" i="20" s="1"/>
  <c r="N249" i="20" s="1"/>
  <c r="O249" i="20" s="1"/>
  <c r="P229" i="20"/>
  <c r="P228" i="20"/>
  <c r="P227" i="20"/>
  <c r="J226" i="20"/>
  <c r="K226" i="20" s="1"/>
  <c r="L226" i="20" s="1"/>
  <c r="M226" i="20" s="1"/>
  <c r="N226" i="20" s="1"/>
  <c r="O226" i="20" s="1"/>
  <c r="P206" i="20"/>
  <c r="P205" i="20"/>
  <c r="P204" i="20"/>
  <c r="J203" i="20"/>
  <c r="K203" i="20" s="1"/>
  <c r="L203" i="20" s="1"/>
  <c r="M203" i="20" s="1"/>
  <c r="N203" i="20" s="1"/>
  <c r="O203" i="20" s="1"/>
  <c r="P183" i="20"/>
  <c r="P182" i="20"/>
  <c r="P181" i="20"/>
  <c r="J180" i="20"/>
  <c r="K180" i="20" s="1"/>
  <c r="L180" i="20" s="1"/>
  <c r="M180" i="20" s="1"/>
  <c r="N180" i="20" s="1"/>
  <c r="O180" i="20" s="1"/>
  <c r="P160" i="20"/>
  <c r="P159" i="20"/>
  <c r="P158" i="20"/>
  <c r="J157" i="20"/>
  <c r="K157" i="20" s="1"/>
  <c r="L157" i="20" s="1"/>
  <c r="M157" i="20" s="1"/>
  <c r="N157" i="20" s="1"/>
  <c r="O157" i="20" s="1"/>
  <c r="P137" i="20"/>
  <c r="P136" i="20"/>
  <c r="P135" i="20"/>
  <c r="J134" i="20"/>
  <c r="K134" i="20" s="1"/>
  <c r="L134" i="20" s="1"/>
  <c r="M134" i="20" s="1"/>
  <c r="N134" i="20" s="1"/>
  <c r="O134" i="20" s="1"/>
  <c r="O14" i="17"/>
  <c r="J111" i="20"/>
  <c r="K111" i="20" s="1"/>
  <c r="L111" i="20" s="1"/>
  <c r="M111" i="20" s="1"/>
  <c r="N111" i="20" s="1"/>
  <c r="O111" i="20" s="1"/>
  <c r="P91" i="20"/>
  <c r="N13" i="17"/>
  <c r="J88" i="20"/>
  <c r="K88" i="20" s="1"/>
  <c r="L88" i="20" s="1"/>
  <c r="M88" i="20" s="1"/>
  <c r="N88" i="20" s="1"/>
  <c r="O88" i="20" s="1"/>
  <c r="P68" i="20"/>
  <c r="P67" i="20"/>
  <c r="P66" i="20"/>
  <c r="J65" i="20"/>
  <c r="K65" i="20" s="1"/>
  <c r="L65" i="20" s="1"/>
  <c r="M65" i="20" s="1"/>
  <c r="N65" i="20" s="1"/>
  <c r="O65" i="20" s="1"/>
  <c r="P43" i="20"/>
  <c r="J41" i="20"/>
  <c r="K41" i="20" s="1"/>
  <c r="L41" i="20" s="1"/>
  <c r="M41" i="20" s="1"/>
  <c r="N41" i="20" s="1"/>
  <c r="O41" i="20" s="1"/>
  <c r="J19" i="20"/>
  <c r="K19" i="20" s="1"/>
  <c r="L19" i="20" s="1"/>
  <c r="M19" i="20" s="1"/>
  <c r="N19" i="20" s="1"/>
  <c r="O19" i="20" s="1"/>
  <c r="C2" i="20"/>
  <c r="I23" i="5"/>
  <c r="E23" i="5"/>
  <c r="D23" i="5"/>
  <c r="C23" i="5"/>
  <c r="I22" i="5"/>
  <c r="E22" i="5"/>
  <c r="D22" i="5"/>
  <c r="C22" i="5"/>
  <c r="R21" i="5"/>
  <c r="H21" i="5"/>
  <c r="E21" i="5"/>
  <c r="D21" i="5"/>
  <c r="C21" i="5"/>
  <c r="Y20" i="5"/>
  <c r="W20" i="5"/>
  <c r="U20" i="5"/>
  <c r="Q20" i="5"/>
  <c r="I20" i="5"/>
  <c r="E20" i="5"/>
  <c r="D20" i="5"/>
  <c r="C20" i="5"/>
  <c r="R19" i="5"/>
  <c r="P19" i="5"/>
  <c r="N19" i="5"/>
  <c r="I19" i="5"/>
  <c r="E19" i="5"/>
  <c r="D19" i="5"/>
  <c r="C19" i="5"/>
  <c r="R18" i="5"/>
  <c r="P18" i="5"/>
  <c r="N18" i="5"/>
  <c r="I18" i="5"/>
  <c r="E18" i="5"/>
  <c r="D18" i="5"/>
  <c r="C18" i="5"/>
  <c r="R17" i="5"/>
  <c r="P17" i="5"/>
  <c r="N17" i="5"/>
  <c r="I17" i="5"/>
  <c r="E17" i="5"/>
  <c r="D17" i="5"/>
  <c r="C17" i="5"/>
  <c r="R16" i="5"/>
  <c r="P16" i="5"/>
  <c r="N16" i="5"/>
  <c r="I16" i="5"/>
  <c r="E16" i="5"/>
  <c r="D16" i="5"/>
  <c r="C16" i="5"/>
  <c r="R15" i="5"/>
  <c r="P15" i="5"/>
  <c r="N15" i="5"/>
  <c r="I15" i="5"/>
  <c r="E15" i="5"/>
  <c r="D15" i="5"/>
  <c r="C15" i="5"/>
  <c r="R14" i="5"/>
  <c r="P14" i="5"/>
  <c r="N14" i="5"/>
  <c r="I14" i="5"/>
  <c r="E14" i="5"/>
  <c r="D14" i="5"/>
  <c r="C14" i="5"/>
  <c r="N13" i="5"/>
  <c r="E13" i="5"/>
  <c r="D13" i="5"/>
  <c r="C13" i="5"/>
  <c r="R12" i="5"/>
  <c r="E12" i="5"/>
  <c r="D12" i="5"/>
  <c r="C12" i="5"/>
  <c r="N11" i="5"/>
  <c r="E11" i="5"/>
  <c r="D11" i="5"/>
  <c r="C11" i="5"/>
  <c r="N10" i="5"/>
  <c r="E10" i="5"/>
  <c r="D10" i="5"/>
  <c r="C10" i="5"/>
  <c r="N9" i="5"/>
  <c r="E9" i="5"/>
  <c r="D9" i="5"/>
  <c r="C9" i="5"/>
  <c r="U7" i="5"/>
  <c r="V7" i="5" s="1"/>
  <c r="W7" i="5" s="1"/>
  <c r="X7" i="5" s="1"/>
  <c r="Y7" i="5" s="1"/>
  <c r="Z7" i="5" s="1"/>
  <c r="N7" i="5"/>
  <c r="O7" i="5" s="1"/>
  <c r="P7" i="5" s="1"/>
  <c r="Q7" i="5" s="1"/>
  <c r="R7" i="5" s="1"/>
  <c r="S7" i="5" s="1"/>
  <c r="F7" i="5"/>
  <c r="G7" i="5" s="1"/>
  <c r="H7" i="5" s="1"/>
  <c r="I7" i="5" s="1"/>
  <c r="J7" i="5" s="1"/>
  <c r="K7" i="5" s="1"/>
  <c r="K5" i="5"/>
  <c r="S21" i="5" s="1"/>
  <c r="J5" i="5"/>
  <c r="R23" i="5" s="1"/>
  <c r="I5" i="5"/>
  <c r="I21" i="5" s="1"/>
  <c r="H5" i="5"/>
  <c r="G5" i="5"/>
  <c r="O21" i="5" s="1"/>
  <c r="F5" i="5"/>
  <c r="U21" i="5" s="1"/>
  <c r="B2" i="5"/>
  <c r="P344" i="18"/>
  <c r="P343" i="18"/>
  <c r="P342" i="18"/>
  <c r="J341" i="18"/>
  <c r="K341" i="18" s="1"/>
  <c r="L341" i="18" s="1"/>
  <c r="M341" i="18" s="1"/>
  <c r="N341" i="18" s="1"/>
  <c r="O341" i="18" s="1"/>
  <c r="P321" i="18"/>
  <c r="P320" i="18"/>
  <c r="P319" i="18"/>
  <c r="J318" i="18"/>
  <c r="K318" i="18" s="1"/>
  <c r="L318" i="18" s="1"/>
  <c r="M318" i="18" s="1"/>
  <c r="N318" i="18" s="1"/>
  <c r="O318" i="18" s="1"/>
  <c r="P298" i="18"/>
  <c r="P297" i="18"/>
  <c r="P296" i="18"/>
  <c r="J295" i="18"/>
  <c r="K295" i="18" s="1"/>
  <c r="L295" i="18" s="1"/>
  <c r="M295" i="18" s="1"/>
  <c r="N295" i="18" s="1"/>
  <c r="O295" i="18" s="1"/>
  <c r="P275" i="18"/>
  <c r="P274" i="18"/>
  <c r="P273" i="18"/>
  <c r="J272" i="18"/>
  <c r="K272" i="18" s="1"/>
  <c r="L272" i="18" s="1"/>
  <c r="M272" i="18" s="1"/>
  <c r="N272" i="18" s="1"/>
  <c r="O272" i="18" s="1"/>
  <c r="P252" i="18"/>
  <c r="P251" i="18"/>
  <c r="P250" i="18"/>
  <c r="J249" i="18"/>
  <c r="K249" i="18" s="1"/>
  <c r="L249" i="18" s="1"/>
  <c r="M249" i="18" s="1"/>
  <c r="N249" i="18" s="1"/>
  <c r="O249" i="18" s="1"/>
  <c r="P229" i="18"/>
  <c r="P228" i="18"/>
  <c r="P227" i="18"/>
  <c r="J226" i="18"/>
  <c r="K226" i="18" s="1"/>
  <c r="L226" i="18" s="1"/>
  <c r="M226" i="18" s="1"/>
  <c r="N226" i="18" s="1"/>
  <c r="O226" i="18" s="1"/>
  <c r="P206" i="18"/>
  <c r="P205" i="18"/>
  <c r="P204" i="18"/>
  <c r="J203" i="18"/>
  <c r="K203" i="18" s="1"/>
  <c r="L203" i="18" s="1"/>
  <c r="M203" i="18" s="1"/>
  <c r="N203" i="18" s="1"/>
  <c r="O203" i="18" s="1"/>
  <c r="P183" i="18"/>
  <c r="P182" i="18"/>
  <c r="P181" i="18"/>
  <c r="J180" i="18"/>
  <c r="K180" i="18" s="1"/>
  <c r="L180" i="18" s="1"/>
  <c r="M180" i="18" s="1"/>
  <c r="N180" i="18" s="1"/>
  <c r="O180" i="18" s="1"/>
  <c r="P160" i="18"/>
  <c r="P159" i="18"/>
  <c r="P158" i="18"/>
  <c r="J157" i="18"/>
  <c r="K157" i="18" s="1"/>
  <c r="L157" i="18" s="1"/>
  <c r="M157" i="18" s="1"/>
  <c r="N157" i="18" s="1"/>
  <c r="O157" i="18" s="1"/>
  <c r="P137" i="18"/>
  <c r="P136" i="18"/>
  <c r="P135" i="18"/>
  <c r="J134" i="18"/>
  <c r="K134" i="18" s="1"/>
  <c r="L134" i="18" s="1"/>
  <c r="M134" i="18" s="1"/>
  <c r="N134" i="18" s="1"/>
  <c r="O134" i="18" s="1"/>
  <c r="J111" i="18"/>
  <c r="K111" i="18" s="1"/>
  <c r="L111" i="18" s="1"/>
  <c r="M111" i="18" s="1"/>
  <c r="N111" i="18" s="1"/>
  <c r="O111" i="18" s="1"/>
  <c r="Y12" i="5"/>
  <c r="X12" i="5"/>
  <c r="W12" i="5"/>
  <c r="P91" i="18"/>
  <c r="P90" i="18"/>
  <c r="P12" i="5"/>
  <c r="J12" i="5"/>
  <c r="H12" i="5"/>
  <c r="J88" i="18"/>
  <c r="K88" i="18" s="1"/>
  <c r="L88" i="18" s="1"/>
  <c r="M88" i="18" s="1"/>
  <c r="N88" i="18" s="1"/>
  <c r="O88" i="18" s="1"/>
  <c r="J65" i="18"/>
  <c r="K65" i="18" s="1"/>
  <c r="L65" i="18" s="1"/>
  <c r="M65" i="18" s="1"/>
  <c r="N65" i="18" s="1"/>
  <c r="O65" i="18" s="1"/>
  <c r="J41" i="18"/>
  <c r="K41" i="18" s="1"/>
  <c r="L41" i="18" s="1"/>
  <c r="M41" i="18" s="1"/>
  <c r="N41" i="18" s="1"/>
  <c r="O41" i="18" s="1"/>
  <c r="Y9" i="5"/>
  <c r="W9" i="5"/>
  <c r="S9" i="5"/>
  <c r="R9" i="5"/>
  <c r="Q9" i="5"/>
  <c r="P9" i="5"/>
  <c r="O9" i="5"/>
  <c r="J19" i="18"/>
  <c r="K19" i="18" s="1"/>
  <c r="L19" i="18" s="1"/>
  <c r="M19" i="18" s="1"/>
  <c r="N19" i="18" s="1"/>
  <c r="O19" i="18" s="1"/>
  <c r="C2" i="18"/>
  <c r="B2" i="14"/>
  <c r="T19" i="5" l="1"/>
  <c r="V15" i="5"/>
  <c r="Z16" i="5"/>
  <c r="V18" i="5"/>
  <c r="Z23" i="5"/>
  <c r="Q12" i="5"/>
  <c r="H23" i="5"/>
  <c r="H22" i="5"/>
  <c r="P23" i="5"/>
  <c r="P22" i="5"/>
  <c r="P21" i="5"/>
  <c r="W23" i="5"/>
  <c r="W22" i="5"/>
  <c r="W21" i="5"/>
  <c r="U9" i="5"/>
  <c r="U24" i="5" s="1"/>
  <c r="F10" i="5"/>
  <c r="U11" i="5"/>
  <c r="F12" i="5"/>
  <c r="U12" i="5"/>
  <c r="AA12" i="5" s="1"/>
  <c r="U13" i="5"/>
  <c r="F14" i="5"/>
  <c r="J14" i="5"/>
  <c r="O14" i="5"/>
  <c r="T14" i="5" s="1"/>
  <c r="S14" i="5"/>
  <c r="W14" i="5"/>
  <c r="F15" i="5"/>
  <c r="J15" i="5"/>
  <c r="O15" i="5"/>
  <c r="T15" i="5" s="1"/>
  <c r="S15" i="5"/>
  <c r="W15" i="5"/>
  <c r="F16" i="5"/>
  <c r="J16" i="5"/>
  <c r="O16" i="5"/>
  <c r="T16" i="5" s="1"/>
  <c r="S16" i="5"/>
  <c r="W16" i="5"/>
  <c r="F17" i="5"/>
  <c r="J17" i="5"/>
  <c r="O17" i="5"/>
  <c r="S17" i="5"/>
  <c r="T17" i="5" s="1"/>
  <c r="W17" i="5"/>
  <c r="F18" i="5"/>
  <c r="J18" i="5"/>
  <c r="O18" i="5"/>
  <c r="T18" i="5" s="1"/>
  <c r="S18" i="5"/>
  <c r="W18" i="5"/>
  <c r="F19" i="5"/>
  <c r="J19" i="5"/>
  <c r="O19" i="5"/>
  <c r="S19" i="5"/>
  <c r="W19" i="5"/>
  <c r="F20" i="5"/>
  <c r="J20" i="5"/>
  <c r="N20" i="5"/>
  <c r="R20" i="5"/>
  <c r="V20" i="5"/>
  <c r="AA20" i="5" s="1"/>
  <c r="Z20" i="5"/>
  <c r="N21" i="5"/>
  <c r="N22" i="5"/>
  <c r="N23" i="5"/>
  <c r="T23" i="5" s="1"/>
  <c r="Q15" i="17"/>
  <c r="I19" i="17"/>
  <c r="X20" i="17"/>
  <c r="K23" i="5"/>
  <c r="K22" i="5"/>
  <c r="S23" i="5"/>
  <c r="S22" i="5"/>
  <c r="Z14" i="5"/>
  <c r="V16" i="5"/>
  <c r="V17" i="5"/>
  <c r="Z18" i="5"/>
  <c r="V19" i="5"/>
  <c r="K12" i="5"/>
  <c r="Q23" i="5"/>
  <c r="Q22" i="5"/>
  <c r="X23" i="5"/>
  <c r="X22" i="5"/>
  <c r="X21" i="5"/>
  <c r="V12" i="5"/>
  <c r="K14" i="5"/>
  <c r="X14" i="5"/>
  <c r="G15" i="5"/>
  <c r="X15" i="5"/>
  <c r="G16" i="5"/>
  <c r="K16" i="5"/>
  <c r="X16" i="5"/>
  <c r="G17" i="5"/>
  <c r="K17" i="5"/>
  <c r="X17" i="5"/>
  <c r="G18" i="5"/>
  <c r="K18" i="5"/>
  <c r="X18" i="5"/>
  <c r="G19" i="5"/>
  <c r="K19" i="5"/>
  <c r="X19" i="5"/>
  <c r="G20" i="5"/>
  <c r="K20" i="5"/>
  <c r="O20" i="5"/>
  <c r="S20" i="5"/>
  <c r="F21" i="5"/>
  <c r="J21" i="5"/>
  <c r="R22" i="5"/>
  <c r="X23" i="17"/>
  <c r="Q22" i="17"/>
  <c r="I22" i="17"/>
  <c r="X19" i="17"/>
  <c r="Q18" i="17"/>
  <c r="I18" i="17"/>
  <c r="X15" i="17"/>
  <c r="X14" i="17"/>
  <c r="Q13" i="17"/>
  <c r="I12" i="17"/>
  <c r="X11" i="17"/>
  <c r="X22" i="17"/>
  <c r="Q21" i="17"/>
  <c r="I21" i="17"/>
  <c r="X18" i="17"/>
  <c r="Q17" i="17"/>
  <c r="I17" i="17"/>
  <c r="Q14" i="17"/>
  <c r="I13" i="17"/>
  <c r="X12" i="17"/>
  <c r="Q11" i="17"/>
  <c r="Q24" i="17"/>
  <c r="I24" i="17"/>
  <c r="X21" i="17"/>
  <c r="Q20" i="17"/>
  <c r="I20" i="17"/>
  <c r="X17" i="17"/>
  <c r="Q16" i="17"/>
  <c r="I16" i="17"/>
  <c r="I14" i="17"/>
  <c r="X13" i="17"/>
  <c r="Q12" i="17"/>
  <c r="I11" i="17"/>
  <c r="G23" i="5"/>
  <c r="G22" i="5"/>
  <c r="O23" i="5"/>
  <c r="O22" i="5"/>
  <c r="V14" i="5"/>
  <c r="Z15" i="5"/>
  <c r="Z17" i="5"/>
  <c r="Z19" i="5"/>
  <c r="Z21" i="5"/>
  <c r="Z22" i="5"/>
  <c r="S12" i="5"/>
  <c r="I12" i="5"/>
  <c r="G14" i="5"/>
  <c r="K15" i="5"/>
  <c r="Z9" i="5"/>
  <c r="G12" i="5"/>
  <c r="L12" i="5" s="1"/>
  <c r="M12" i="5" s="1"/>
  <c r="O12" i="5"/>
  <c r="U23" i="5"/>
  <c r="U22" i="5"/>
  <c r="F23" i="5"/>
  <c r="L23" i="5" s="1"/>
  <c r="M23" i="5" s="1"/>
  <c r="F22" i="5"/>
  <c r="Y23" i="5"/>
  <c r="Y22" i="5"/>
  <c r="Y21" i="5"/>
  <c r="J23" i="5"/>
  <c r="J22" i="5"/>
  <c r="F9" i="5"/>
  <c r="U10" i="5"/>
  <c r="F11" i="5"/>
  <c r="N12" i="5"/>
  <c r="Z12" i="5"/>
  <c r="F13" i="5"/>
  <c r="H14" i="5"/>
  <c r="Q14" i="5"/>
  <c r="U14" i="5"/>
  <c r="Y14" i="5"/>
  <c r="H15" i="5"/>
  <c r="Q15" i="5"/>
  <c r="U15" i="5"/>
  <c r="Y15" i="5"/>
  <c r="H16" i="5"/>
  <c r="Q16" i="5"/>
  <c r="U16" i="5"/>
  <c r="Y16" i="5"/>
  <c r="H17" i="5"/>
  <c r="Q17" i="5"/>
  <c r="U17" i="5"/>
  <c r="Y17" i="5"/>
  <c r="H18" i="5"/>
  <c r="Q18" i="5"/>
  <c r="U18" i="5"/>
  <c r="Y18" i="5"/>
  <c r="H19" i="5"/>
  <c r="Q19" i="5"/>
  <c r="U19" i="5"/>
  <c r="Y19" i="5"/>
  <c r="H20" i="5"/>
  <c r="P20" i="5"/>
  <c r="X20" i="5"/>
  <c r="G21" i="5"/>
  <c r="K21" i="5"/>
  <c r="Q21" i="5"/>
  <c r="V21" i="5"/>
  <c r="AA21" i="5" s="1"/>
  <c r="V22" i="5"/>
  <c r="V23" i="5"/>
  <c r="I15" i="17"/>
  <c r="X16" i="17"/>
  <c r="Q19" i="17"/>
  <c r="I23" i="17"/>
  <c r="X24" i="17"/>
  <c r="F10" i="17"/>
  <c r="P11" i="17"/>
  <c r="U11" i="17"/>
  <c r="Z11" i="17"/>
  <c r="K12" i="17"/>
  <c r="W12" i="17"/>
  <c r="H13" i="17"/>
  <c r="O13" i="17"/>
  <c r="S13" i="17"/>
  <c r="P14" i="17"/>
  <c r="U14" i="17"/>
  <c r="Z14" i="17"/>
  <c r="F15" i="17"/>
  <c r="J15" i="17"/>
  <c r="N15" i="17"/>
  <c r="R15" i="17"/>
  <c r="V15" i="17"/>
  <c r="AA15" i="17" s="1"/>
  <c r="Z15" i="17"/>
  <c r="U16" i="17"/>
  <c r="Y16" i="17"/>
  <c r="H17" i="17"/>
  <c r="P17" i="17"/>
  <c r="G18" i="17"/>
  <c r="L18" i="17" s="1"/>
  <c r="M18" i="17" s="1"/>
  <c r="K18" i="17"/>
  <c r="O18" i="17"/>
  <c r="T18" i="17" s="1"/>
  <c r="S18" i="17"/>
  <c r="W18" i="17"/>
  <c r="F19" i="17"/>
  <c r="J19" i="17"/>
  <c r="N19" i="17"/>
  <c r="R19" i="17"/>
  <c r="V19" i="17"/>
  <c r="AA19" i="17" s="1"/>
  <c r="Z19" i="17"/>
  <c r="U20" i="17"/>
  <c r="Y20" i="17"/>
  <c r="H21" i="17"/>
  <c r="P21" i="17"/>
  <c r="G22" i="17"/>
  <c r="L22" i="17" s="1"/>
  <c r="M22" i="17" s="1"/>
  <c r="K22" i="17"/>
  <c r="O22" i="17"/>
  <c r="T22" i="17" s="1"/>
  <c r="S22" i="17"/>
  <c r="W22" i="17"/>
  <c r="AA22" i="17" s="1"/>
  <c r="F23" i="17"/>
  <c r="J23" i="17"/>
  <c r="N23" i="17"/>
  <c r="T23" i="17" s="1"/>
  <c r="R23" i="17"/>
  <c r="V23" i="17"/>
  <c r="AA23" i="17" s="1"/>
  <c r="Z23" i="17"/>
  <c r="U24" i="17"/>
  <c r="AA24" i="17" s="1"/>
  <c r="Y24" i="17"/>
  <c r="V14" i="17"/>
  <c r="N10" i="17"/>
  <c r="J11" i="17"/>
  <c r="W11" i="17"/>
  <c r="H12" i="17"/>
  <c r="N12" i="17"/>
  <c r="R12" i="17"/>
  <c r="P13" i="17"/>
  <c r="U13" i="17"/>
  <c r="Y13" i="17"/>
  <c r="J14" i="17"/>
  <c r="W14" i="17"/>
  <c r="G15" i="17"/>
  <c r="K15" i="17"/>
  <c r="O15" i="17"/>
  <c r="S15" i="17"/>
  <c r="W15" i="17"/>
  <c r="F16" i="17"/>
  <c r="J16" i="17"/>
  <c r="N16" i="17"/>
  <c r="R16" i="17"/>
  <c r="V16" i="17"/>
  <c r="Z16" i="17"/>
  <c r="U17" i="17"/>
  <c r="Y17" i="17"/>
  <c r="H18" i="17"/>
  <c r="P18" i="17"/>
  <c r="G19" i="17"/>
  <c r="K19" i="17"/>
  <c r="O19" i="17"/>
  <c r="S19" i="17"/>
  <c r="W19" i="17"/>
  <c r="F20" i="17"/>
  <c r="J20" i="17"/>
  <c r="N20" i="17"/>
  <c r="R20" i="17"/>
  <c r="V20" i="17"/>
  <c r="Z20" i="17"/>
  <c r="U21" i="17"/>
  <c r="AA21" i="17" s="1"/>
  <c r="Y21" i="17"/>
  <c r="H22" i="17"/>
  <c r="P22" i="17"/>
  <c r="G23" i="17"/>
  <c r="K23" i="17"/>
  <c r="O23" i="17"/>
  <c r="S23" i="17"/>
  <c r="W23" i="17"/>
  <c r="F24" i="17"/>
  <c r="J24" i="17"/>
  <c r="N24" i="17"/>
  <c r="R24" i="17"/>
  <c r="V24" i="17"/>
  <c r="Z24" i="17"/>
  <c r="U10" i="17"/>
  <c r="F11" i="17"/>
  <c r="K11" i="17"/>
  <c r="R11" i="17"/>
  <c r="O12" i="17"/>
  <c r="S12" i="17"/>
  <c r="Y12" i="17"/>
  <c r="J13" i="17"/>
  <c r="V13" i="17"/>
  <c r="Z13" i="17"/>
  <c r="F14" i="17"/>
  <c r="K14" i="17"/>
  <c r="R14" i="17"/>
  <c r="H15" i="17"/>
  <c r="P15" i="17"/>
  <c r="G16" i="17"/>
  <c r="K16" i="17"/>
  <c r="O16" i="17"/>
  <c r="S16" i="17"/>
  <c r="W16" i="17"/>
  <c r="F17" i="17"/>
  <c r="J17" i="17"/>
  <c r="N17" i="17"/>
  <c r="T17" i="17" s="1"/>
  <c r="R17" i="17"/>
  <c r="V17" i="17"/>
  <c r="Z17" i="17"/>
  <c r="U18" i="17"/>
  <c r="AA18" i="17" s="1"/>
  <c r="Y18" i="17"/>
  <c r="H19" i="17"/>
  <c r="P19" i="17"/>
  <c r="G20" i="17"/>
  <c r="K20" i="17"/>
  <c r="O20" i="17"/>
  <c r="S20" i="17"/>
  <c r="W20" i="17"/>
  <c r="F21" i="17"/>
  <c r="J21" i="17"/>
  <c r="N21" i="17"/>
  <c r="T21" i="17" s="1"/>
  <c r="R21" i="17"/>
  <c r="V21" i="17"/>
  <c r="Z21" i="17"/>
  <c r="H23" i="17"/>
  <c r="P23" i="17"/>
  <c r="G24" i="17"/>
  <c r="K24" i="17"/>
  <c r="T14" i="17"/>
  <c r="P114" i="20"/>
  <c r="G14" i="17"/>
  <c r="P112" i="20"/>
  <c r="P113" i="20"/>
  <c r="F13" i="17"/>
  <c r="P89" i="20"/>
  <c r="N25" i="17"/>
  <c r="P90" i="20"/>
  <c r="V12" i="17"/>
  <c r="AA12" i="17" s="1"/>
  <c r="G12" i="17"/>
  <c r="P44" i="20"/>
  <c r="V11" i="17"/>
  <c r="G11" i="17"/>
  <c r="P42" i="20"/>
  <c r="O11" i="17"/>
  <c r="N24" i="5"/>
  <c r="T12" i="5"/>
  <c r="P89" i="18"/>
  <c r="W10" i="17"/>
  <c r="Z10" i="17"/>
  <c r="X10" i="17"/>
  <c r="Y10" i="17"/>
  <c r="R10" i="17"/>
  <c r="Q10" i="17"/>
  <c r="P10" i="17"/>
  <c r="S10" i="17"/>
  <c r="Z13" i="5"/>
  <c r="Y13" i="5"/>
  <c r="X13" i="5"/>
  <c r="T9" i="5"/>
  <c r="R13" i="5"/>
  <c r="S13" i="5"/>
  <c r="Q13" i="5"/>
  <c r="P13" i="5"/>
  <c r="X9" i="5"/>
  <c r="P21" i="18"/>
  <c r="N36" i="7"/>
  <c r="O30" i="7"/>
  <c r="O38" i="7" s="1"/>
  <c r="R32" i="7"/>
  <c r="R33" i="7"/>
  <c r="L30" i="7"/>
  <c r="L37" i="7" s="1"/>
  <c r="R31" i="7"/>
  <c r="P30" i="7"/>
  <c r="P38" i="7" s="1"/>
  <c r="M30" i="7"/>
  <c r="M36" i="7" s="1"/>
  <c r="Q30" i="7"/>
  <c r="Q36" i="7" s="1"/>
  <c r="R34" i="7"/>
  <c r="N107" i="7"/>
  <c r="N130" i="7"/>
  <c r="N106" i="7"/>
  <c r="N129" i="7"/>
  <c r="N84" i="7"/>
  <c r="N105" i="7"/>
  <c r="N128" i="7"/>
  <c r="T12" i="17" l="1"/>
  <c r="T11" i="17"/>
  <c r="L11" i="17"/>
  <c r="Y25" i="17"/>
  <c r="T13" i="17"/>
  <c r="S25" i="17"/>
  <c r="AA11" i="17"/>
  <c r="L21" i="5"/>
  <c r="M21" i="5" s="1"/>
  <c r="X25" i="17"/>
  <c r="L14" i="17"/>
  <c r="M14" i="17" s="1"/>
  <c r="L17" i="17"/>
  <c r="M17" i="17" s="1"/>
  <c r="T24" i="17"/>
  <c r="L16" i="17"/>
  <c r="M16" i="17" s="1"/>
  <c r="L19" i="17"/>
  <c r="M19" i="17" s="1"/>
  <c r="AA19" i="5"/>
  <c r="AA18" i="5"/>
  <c r="AA17" i="5"/>
  <c r="AA16" i="5"/>
  <c r="AA15" i="5"/>
  <c r="AA14" i="5"/>
  <c r="F24" i="5"/>
  <c r="AA22" i="5"/>
  <c r="T22" i="5"/>
  <c r="L19" i="5"/>
  <c r="M19" i="5" s="1"/>
  <c r="L15" i="5"/>
  <c r="M15" i="5" s="1"/>
  <c r="L16" i="5"/>
  <c r="M16" i="5" s="1"/>
  <c r="P25" i="17"/>
  <c r="Q25" i="17"/>
  <c r="Z25" i="17"/>
  <c r="U25" i="17"/>
  <c r="L21" i="17"/>
  <c r="M21" i="17" s="1"/>
  <c r="L20" i="17"/>
  <c r="M20" i="17" s="1"/>
  <c r="AA13" i="17"/>
  <c r="AA14" i="17"/>
  <c r="L23" i="17"/>
  <c r="M23" i="17" s="1"/>
  <c r="AA16" i="17"/>
  <c r="T15" i="17"/>
  <c r="AA23" i="5"/>
  <c r="T21" i="5"/>
  <c r="T20" i="5"/>
  <c r="L18" i="5"/>
  <c r="M18" i="5" s="1"/>
  <c r="L14" i="5"/>
  <c r="M14" i="5" s="1"/>
  <c r="T20" i="17"/>
  <c r="L15" i="17"/>
  <c r="M15" i="17" s="1"/>
  <c r="L20" i="5"/>
  <c r="M20" i="5" s="1"/>
  <c r="R25" i="17"/>
  <c r="W25" i="17"/>
  <c r="L12" i="17"/>
  <c r="M12" i="17" s="1"/>
  <c r="L24" i="17"/>
  <c r="M24" i="17" s="1"/>
  <c r="AA17" i="17"/>
  <c r="T16" i="17"/>
  <c r="AA20" i="17"/>
  <c r="T19" i="17"/>
  <c r="L22" i="5"/>
  <c r="M22" i="5" s="1"/>
  <c r="L17" i="5"/>
  <c r="M17" i="5" s="1"/>
  <c r="F25" i="17"/>
  <c r="L13" i="17"/>
  <c r="W13" i="5"/>
  <c r="P22" i="18"/>
  <c r="V9" i="5"/>
  <c r="Q10" i="5"/>
  <c r="P10" i="5"/>
  <c r="S10" i="5"/>
  <c r="R10" i="5"/>
  <c r="P11" i="5"/>
  <c r="S11" i="5"/>
  <c r="R11" i="5"/>
  <c r="Q11" i="5"/>
  <c r="O13" i="5"/>
  <c r="T13" i="5" s="1"/>
  <c r="P113" i="18"/>
  <c r="V13" i="5"/>
  <c r="P114" i="18"/>
  <c r="O10" i="17"/>
  <c r="P21" i="20"/>
  <c r="P22" i="20"/>
  <c r="V10" i="17"/>
  <c r="Z10" i="5"/>
  <c r="Y10" i="5"/>
  <c r="X10" i="5"/>
  <c r="W10" i="5"/>
  <c r="AH47" i="7"/>
  <c r="AH48" i="7" s="1"/>
  <c r="P36" i="7"/>
  <c r="N38" i="7"/>
  <c r="O40" i="7"/>
  <c r="O36" i="7"/>
  <c r="Q38" i="7"/>
  <c r="L40" i="7"/>
  <c r="L41" i="7" s="1"/>
  <c r="L51" i="7" s="1"/>
  <c r="L52" i="7" s="1"/>
  <c r="L38" i="7"/>
  <c r="Q40" i="7"/>
  <c r="N40" i="7"/>
  <c r="L36" i="7"/>
  <c r="M37" i="7"/>
  <c r="M40" i="7"/>
  <c r="M38" i="7"/>
  <c r="R30" i="7"/>
  <c r="R36" i="7" s="1"/>
  <c r="P40" i="7"/>
  <c r="M11" i="17" l="1"/>
  <c r="M13" i="17"/>
  <c r="AA13" i="5"/>
  <c r="R24" i="5"/>
  <c r="Q24" i="5"/>
  <c r="Y11" i="5"/>
  <c r="Y24" i="5" s="1"/>
  <c r="X11" i="5"/>
  <c r="X24" i="5" s="1"/>
  <c r="Z11" i="5"/>
  <c r="Z24" i="5" s="1"/>
  <c r="W11" i="5"/>
  <c r="W24" i="5" s="1"/>
  <c r="P67" i="18"/>
  <c r="O11" i="5"/>
  <c r="T11" i="5" s="1"/>
  <c r="O10" i="5"/>
  <c r="P43" i="18"/>
  <c r="AA9" i="5"/>
  <c r="P24" i="5"/>
  <c r="V10" i="5"/>
  <c r="AA10" i="5" s="1"/>
  <c r="P44" i="18"/>
  <c r="AA10" i="17"/>
  <c r="AA25" i="17" s="1"/>
  <c r="V25" i="17"/>
  <c r="O25" i="17"/>
  <c r="T10" i="17"/>
  <c r="T25" i="17" s="1"/>
  <c r="S24" i="5"/>
  <c r="AI47" i="7"/>
  <c r="AI48" i="7" s="1"/>
  <c r="I10" i="17"/>
  <c r="I25" i="17" s="1"/>
  <c r="J10" i="17"/>
  <c r="J25" i="17" s="1"/>
  <c r="H10" i="17"/>
  <c r="H25" i="17" s="1"/>
  <c r="K10" i="17"/>
  <c r="K25" i="17" s="1"/>
  <c r="I9" i="5"/>
  <c r="H9" i="5"/>
  <c r="J9" i="5"/>
  <c r="K9" i="5"/>
  <c r="N37" i="7"/>
  <c r="L39" i="7"/>
  <c r="AT48" i="7" s="1"/>
  <c r="M41" i="7"/>
  <c r="M51" i="7" s="1"/>
  <c r="M52" i="7" s="1"/>
  <c r="R38" i="7"/>
  <c r="R40" i="7"/>
  <c r="V11" i="5" l="1"/>
  <c r="P68" i="18"/>
  <c r="T10" i="5"/>
  <c r="T24" i="5" s="1"/>
  <c r="O24" i="5"/>
  <c r="AJ47" i="7"/>
  <c r="AJ48" i="7" s="1"/>
  <c r="P20" i="18"/>
  <c r="G9" i="5"/>
  <c r="J10" i="5"/>
  <c r="K10" i="5"/>
  <c r="I10" i="5"/>
  <c r="H10" i="5"/>
  <c r="I13" i="5"/>
  <c r="J13" i="5"/>
  <c r="H13" i="5"/>
  <c r="K13" i="5"/>
  <c r="P20" i="20"/>
  <c r="G10" i="17"/>
  <c r="O37" i="7"/>
  <c r="M39" i="7"/>
  <c r="AU48" i="7" s="1"/>
  <c r="AT49" i="7"/>
  <c r="N41" i="7"/>
  <c r="O41" i="7" s="1"/>
  <c r="AA11" i="5" l="1"/>
  <c r="AA24" i="5" s="1"/>
  <c r="V24" i="5"/>
  <c r="P37" i="7"/>
  <c r="Q37" i="7" s="1"/>
  <c r="AK47" i="7"/>
  <c r="AK48" i="7" s="1"/>
  <c r="L9" i="5"/>
  <c r="M9" i="5" s="1"/>
  <c r="G13" i="5"/>
  <c r="L13" i="5" s="1"/>
  <c r="M13" i="5" s="1"/>
  <c r="P112" i="18"/>
  <c r="I11" i="5"/>
  <c r="I24" i="5" s="1"/>
  <c r="H11" i="5"/>
  <c r="H24" i="5" s="1"/>
  <c r="J11" i="5"/>
  <c r="J24" i="5" s="1"/>
  <c r="K11" i="5"/>
  <c r="K24" i="5" s="1"/>
  <c r="L10" i="17"/>
  <c r="G25" i="17"/>
  <c r="G10" i="5"/>
  <c r="L10" i="5" s="1"/>
  <c r="P42" i="18"/>
  <c r="N39" i="7"/>
  <c r="AV48" i="7" s="1"/>
  <c r="AU49" i="7"/>
  <c r="N51" i="7"/>
  <c r="N52" i="7" s="1"/>
  <c r="O51" i="7"/>
  <c r="O52" i="7" s="1"/>
  <c r="P41" i="7"/>
  <c r="AM47" i="7" l="1"/>
  <c r="AM48" i="7" s="1"/>
  <c r="AL47" i="7"/>
  <c r="AL48" i="7" s="1"/>
  <c r="M10" i="5"/>
  <c r="M24" i="5" s="1"/>
  <c r="M10" i="17"/>
  <c r="M25" i="17" s="1"/>
  <c r="L25" i="17"/>
  <c r="G11" i="5"/>
  <c r="L11" i="5" s="1"/>
  <c r="M11" i="5" s="1"/>
  <c r="P66" i="18"/>
  <c r="G24" i="5"/>
  <c r="R37" i="7"/>
  <c r="O39" i="7"/>
  <c r="AW48" i="7" s="1"/>
  <c r="AV49" i="7"/>
  <c r="P51" i="7"/>
  <c r="P52" i="7" s="1"/>
  <c r="Q41" i="7"/>
  <c r="AH49" i="7" l="1"/>
  <c r="AH50" i="7" s="1"/>
  <c r="L24" i="5"/>
  <c r="P39" i="7"/>
  <c r="AX48" i="7" s="1"/>
  <c r="AW49" i="7"/>
  <c r="Q51" i="7"/>
  <c r="Q52" i="7" s="1"/>
  <c r="L53" i="7" s="1"/>
  <c r="L54" i="7" s="1"/>
  <c r="R41" i="7"/>
  <c r="Q39" i="7" l="1"/>
  <c r="AY48" i="7" s="1"/>
  <c r="AX49" i="7"/>
  <c r="R39" i="7" l="1"/>
  <c r="AY49" i="7"/>
  <c r="AT50" i="7" s="1"/>
  <c r="AT5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tc={B6DDF31B-00DA-4E92-85FA-01E90568D031}</author>
    <author>tc={82DC1F00-7174-4DF3-83B9-F2A500D6F1DA}</author>
    <author>tc={0C2BEA91-6263-4590-9F34-A961686824A6}</author>
    <author>tc={15D52CC7-97AD-4453-BEB8-08AFBD0C4D2C}</author>
  </authors>
  <commentList>
    <comment ref="C6" authorId="0" shapeId="0" xr:uid="{B6DDF31B-00DA-4E92-85FA-01E90568D031}">
      <text>
        <t>[Threaded comment]
Your version of Excel allows you to read this threaded comment; however, any edits to it will get removed if the file is opened in a newer version of Excel. Learn more: https://go.microsoft.com/fwlink/?linkid=870924
Comment:
    Ange namnen på tjänsten / projektet / förändringsinitiativet.</t>
      </text>
    </comment>
    <comment ref="C8" authorId="1" shapeId="0" xr:uid="{82DC1F00-7174-4DF3-83B9-F2A500D6F1DA}">
      <text>
        <t>[Threaded comment]
Your version of Excel allows you to read this threaded comment; however, any edits to it will get removed if the file is opened in a newer version of Excel. Learn more: https://go.microsoft.com/fwlink/?linkid=870924
Comment:
    Här anger du från vilket år du vill börja räkna nytta och kostnader.</t>
      </text>
    </comment>
    <comment ref="C9" authorId="2" shapeId="0" xr:uid="{0C2BEA91-6263-4590-9F34-A961686824A6}">
      <text>
        <t>[Threaded comment]
Your version of Excel allows you to read this threaded comment; however, any edits to it will get removed if the file is opened in a newer version of Excel. Learn more: https://go.microsoft.com/fwlink/?linkid=870924
Comment:
    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
      </text>
    </comment>
    <comment ref="B11" authorId="3" shapeId="0" xr:uid="{15D52CC7-97AD-4453-BEB8-08AFBD0C4D2C}">
      <text>
        <t>[Threaded comment]
Your version of Excel allows you to read this threaded comment; however, any edits to it will get removed if the file is opened in a newer version of Excel. Learn more: https://go.microsoft.com/fwlink/?linkid=870924
Comment: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tc={B3DFC78B-8804-499E-89C9-B2175190454E}</author>
    <author>tc={4D92B242-8B91-4623-8334-C899F58D588C}</author>
    <author>tc={353FD6D7-4D03-45CE-975F-435487B1D2B9}</author>
    <author>tc={D5038BB4-DAD9-4A68-B3D3-F5BBAFB8D1EA}</author>
    <author>tc={4B5981E8-8668-446D-B811-C73F4A380B38}</author>
    <author>tc={AB82AB48-31C1-4FB3-B3F8-1262133C67B3}</author>
    <author>tc={526F1C61-FDC9-4722-844B-BB34141CED54}</author>
    <author>tc={6CE0C9E0-D64F-479F-9428-6CA1B64B921B}</author>
    <author>tc={C063CA23-FB4C-4477-8812-CA632BBAD045}</author>
    <author>tc={78AF656C-7269-4AEF-892F-AA8694D67BA7}</author>
    <author>tc={CA685C8C-AAE7-4BD9-8734-641732E8A064}</author>
    <author>tc={34388524-DBBC-434F-9BCA-32FFD6BFB6FE}</author>
    <author>tc={B344296F-AC1F-4E4F-A42E-123960D67714}</author>
    <author>tc={A6AE2D12-0F58-46FA-868F-DCD45B82EEF5}</author>
    <author>tc={1BD7AF9E-277A-4F0F-8894-2A27CF4E4D39}</author>
  </authors>
  <commentList>
    <comment ref="C5" authorId="0" shapeId="0" xr:uid="{B3DFC78B-8804-499E-89C9-B2175190454E}">
      <text>
        <t>[Threaded comment]
Your version of Excel allows you to read this threaded comment; however, any edits to it will get removed if the file is opened in a newer version of Excel. Learn more: https://go.microsoft.com/fwlink/?linkid=870924
Comment:
    Ge nyttan en rubrik nedan.</t>
      </text>
    </comment>
    <comment ref="C6" authorId="1" shapeId="0" xr:uid="{4D92B242-8B91-4623-8334-C899F58D588C}">
      <text>
        <t>[Threaded comment]
Your version of Excel allows you to read this threaded comment; however, any edits to it will get removed if the file is opened in a newer version of Excel. Learn more: https://go.microsoft.com/fwlink/?linkid=870924
Comment:
    Ange vilken intressent nyttan tillfaller genom att trycka på pilen i fältet till höger och välja i listan som visas.  Du kan lägga till fler intressenter på fliken "Försättsblad".
Om en nytta tillfaller fler intressenter, dela upp den i flera nyttor, en per intressent.</t>
      </text>
    </comment>
    <comment ref="C7" authorId="2" shapeId="0" xr:uid="{353FD6D7-4D03-45CE-975F-435487B1D2B9}">
      <text>
        <t>[Threaded comment]
Your version of Excel allows you to read this threaded comment; however, any edits to it will get removed if the file is opened in a newer version of Excel. Learn more: https://go.microsoft.com/fwlink/?linkid=870924
Comment:
    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
      </text>
    </comment>
    <comment ref="C9" authorId="3" shapeId="0" xr:uid="{D5038BB4-DAD9-4A68-B3D3-F5BBAFB8D1EA}">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9" authorId="4" shapeId="0" xr:uid="{4B5981E8-8668-446D-B811-C73F4A380B38}">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9" authorId="5" shapeId="0" xr:uid="{AB82AB48-31C1-4FB3-B3F8-1262133C67B3}">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9" authorId="6" shapeId="0" xr:uid="{526F1C61-FDC9-4722-844B-BB34141CED54}">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9" authorId="7" shapeId="0" xr:uid="{6CE0C9E0-D64F-479F-9428-6CA1B64B921B}">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G10" authorId="8" shapeId="0" xr:uid="{C063CA23-FB4C-4477-8812-CA632BBAD045}">
      <text>
        <t>[Threaded comment]
Your version of Excel allows you to read this threaded comment; however, any edits to it will get removed if the file is opened in a newer version of Excel. Learn more: https://go.microsoft.com/fwlink/?linkid=870924
Comment:
    Idébeskrivningen för ärendet anger dessa siffror och de baseras på de regioner som använder Rådgivningsstödet idag.</t>
      </text>
    </comment>
    <comment ref="P19" authorId="9" shapeId="0" xr:uid="{78AF656C-7269-4AEF-892F-AA8694D67BA7}">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G20" authorId="10" shapeId="0" xr:uid="{CA685C8C-AAE7-4BD9-8734-641732E8A064}">
      <text>
        <t>[Threaded comment]
Your version of Excel allows you to read this threaded comment; however, any edits to it will get removed if the file is opened in a newer version of Excel. Learn more: https://go.microsoft.com/fwlink/?linkid=870924
Comment:
    Grundutbildad sjuksköterska</t>
      </text>
    </comment>
    <comment ref="I20" authorId="11" shapeId="0" xr:uid="{34388524-DBBC-434F-9BCA-32FFD6BFB6FE}">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I21" authorId="12" shapeId="0" xr:uid="{B344296F-AC1F-4E4F-A42E-123960D67714}">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I22" authorId="13" shapeId="0" xr:uid="{A6AE2D12-0F58-46FA-868F-DCD45B82EEF5}">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C23" authorId="14" shapeId="0" xr:uid="{1BD7AF9E-277A-4F0F-8894-2A27CF4E4D3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B1" authorId="0" shapeId="0" xr:uid="{032399A8-BA0D-410B-8DD2-F617C138F1AB}">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
      </text>
    </comment>
    <comment ref="F4" authorId="1" shapeId="0" xr:uid="{180EDAEF-2E16-44DC-ACD1-76FBA4256C7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Försättsblad.</t>
      </text>
    </comment>
    <comment ref="M8" authorId="2" shapeId="0" xr:uid="{9221B2DA-71E9-4685-8726-6011FD0406DC}">
      <text>
        <t>[Threaded comment]
Your version of Excel allows you to read this threaded comment; however, any edits to it will get removed if the file is opened in a newer version of Excel. Learn more: https://go.microsoft.com/fwlink/?linkid=870924
Comment:
    Här beräknas osäkerheten utifrån vad du angett för min- och max. Det kan hjälpa er att se var den största osäkerheten finns. Formlen är (min/max)/5/Troligt värde).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tc={E39E83E4-EB19-4114-A230-9E5967C0D5AF}</author>
    <author>tc={A1837D59-01EB-4303-B0CE-37C41CA808CF}</author>
    <author>tc={5E236978-4E65-49F9-B1CA-10200A2E8713}</author>
    <author>tc={10B3B047-155B-4D18-8C16-0B287D1DA858}</author>
    <author>tc={231E53AC-AAC5-4004-8FDF-204B05156B0D}</author>
    <author>tc={8FDB5CD7-A918-46AA-8AAF-AFD3D9B31529}</author>
    <author>tc={D7798160-B2E1-45DF-8FEB-E6844A10885F}</author>
    <author>tc={B994D5A9-19D6-4C35-BE50-757B07EE841E}</author>
    <author>tc={6731E839-633D-4A99-84D5-6DDE87709F5C}</author>
    <author>tc={C6902185-C510-4C64-AEE0-E0977FC56672}</author>
    <author>tc={1AD30740-48EB-4D25-A7C4-9E1FDAA6A2A2}</author>
    <author>tc={D06B1A48-4F12-4CDF-A936-B4D007797537}</author>
    <author>tc={3B4BEF2B-75B2-4010-B263-C827F8497C99}</author>
    <author>tc={A16C6C8C-CFBA-4D3D-BA07-0F7B66736589}</author>
    <author>tc={4BF91E92-0B33-499D-A3BF-C9C0F66CDFE2}</author>
  </authors>
  <commentList>
    <comment ref="C6" authorId="0" shapeId="0" xr:uid="{E39E83E4-EB19-4114-A230-9E5967C0D5AF}">
      <text>
        <t>[Threaded comment]
Your version of Excel allows you to read this threaded comment; however, any edits to it will get removed if the file is opened in a newer version of Excel. Learn more: https://go.microsoft.com/fwlink/?linkid=870924
Comment:
    Ange vilken intressent kostnaden tillfaller genom att klicka på pilen i fältet till höger och välja i listan som visas.  Du kan lägga till fler intressenter på fliken "Försättsblad".
Om en kostnad tillfaller fler intressenter, dela upp den i flera kostnader, en per intressent.</t>
      </text>
    </comment>
    <comment ref="C7" authorId="1" shapeId="0" xr:uid="{A1837D59-01EB-4303-B0CE-37C41CA808CF}">
      <text>
        <t>[Threaded comment]
Your version of Excel allows you to read this threaded comment; however, any edits to it will get removed if the file is opened in a newer version of Excel. Learn more: https://go.microsoft.com/fwlink/?linkid=870924
Comment:
    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
      </text>
    </comment>
    <comment ref="C9" authorId="2" shapeId="0" xr:uid="{5E236978-4E65-49F9-B1CA-10200A2E8713}">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9" authorId="3" shapeId="0" xr:uid="{10B3B047-155B-4D18-8C16-0B287D1DA858}">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9" authorId="4" shapeId="0" xr:uid="{231E53AC-AAC5-4004-8FDF-204B05156B0D}">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9" authorId="5" shapeId="0" xr:uid="{8FDB5CD7-A918-46AA-8AAF-AFD3D9B31529}">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9" authorId="6" shapeId="0" xr:uid="{D7798160-B2E1-45DF-8FEB-E6844A10885F}">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P19" authorId="7" shapeId="0" xr:uid="{B994D5A9-19D6-4C35-BE50-757B07EE841E}">
      <text>
        <t>[Threaded comment]
Your version of Excel allows you to read this threaded comment; however, any edits to it will get removed if the file is opened in a newer version of Excel. Learn more: https://go.microsoft.com/fwlink/?linkid=870924
Comment:
    Kostnaden summeras automatiskt för troligt, min och max-värdena.</t>
      </text>
    </comment>
    <comment ref="I20" authorId="8" shapeId="0" xr:uid="{6731E839-633D-4A99-84D5-6DDE87709F5C}">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år för år.</t>
      </text>
    </comment>
    <comment ref="I21" authorId="9" shapeId="0" xr:uid="{C6902185-C510-4C64-AEE0-E0977FC5667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t>
      </text>
    </comment>
    <comment ref="I22" authorId="10" shapeId="0" xr:uid="{1AD30740-48EB-4D25-A7C4-9E1FDAA6A2A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t>
      </text>
    </comment>
    <comment ref="C23" authorId="11" shapeId="0" xr:uid="{D06B1A48-4F12-4CDF-A936-B4D007797537}">
      <text>
        <t>[Threaded comment]
Your version of Excel allows you to read this threaded comment; however, any edits to it will get removed if the file is opened in a newer version of Excel. Learn more: https://go.microsoft.com/fwlink/?linkid=870924
Comment:
    I fälten till höger anger du den årliga kostnaden i SEK som du räknat fram med hjälp av tabellen.</t>
      </text>
    </comment>
    <comment ref="G56" authorId="12" shapeId="0" xr:uid="{3B4BEF2B-75B2-4010-B263-C827F8497C99}">
      <text>
        <t>[Threaded comment]
Your version of Excel allows you to read this threaded comment; however, any edits to it will get removed if the file is opened in a newer version of Excel. Learn more: https://go.microsoft.com/fwlink/?linkid=870924
Comment:
    Vi har inte bekräftade uppgifter på kostnaden men 15 öre är troligtvis inte  lågt räknat, i alla fall.</t>
      </text>
    </comment>
    <comment ref="G57" authorId="13" shapeId="0" xr:uid="{A16C6C8C-CFBA-4D3D-BA07-0F7B66736589}">
      <text>
        <t>[Threaded comment]
Your version of Excel allows you to read this threaded comment; however, any edits to it will get removed if the file is opened in a newer version of Excel. Learn more: https://go.microsoft.com/fwlink/?linkid=870924
Comment:
    Detta borde kanske vara högre då ganska många lägger på i kön - så vissa kommer att identifiera sig "i onödan" och dra en kostnad för det.</t>
      </text>
    </comment>
    <comment ref="G58" authorId="14" shapeId="0" xr:uid="{4BF91E92-0B33-499D-A3BF-C9C0F66CDFE2}">
      <text>
        <t>[Threaded comment]
Your version of Excel allows you to read this threaded comment; however, any edits to it will get removed if the file is opened in a newer version of Excel. Learn more: https://go.microsoft.com/fwlink/?linkid=870924
Comment:
    Obs! Max-kostnaden låg eftersom den används i osäkerhetsanalysen för min som är minsta nytta - max kostnad, men just den här kostnaden är kopplad till användningen och bör därför vara minsta kostnaden, om grafen för osäkerhet ska stämma.</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tc={1B90C4CE-B528-44CD-81CD-24CFEA7B47EE}</author>
    <author>tc={BCE437C7-44AF-433A-9056-7857DA54E2B8}</author>
    <author>tc={8A797C44-B783-4003-A577-32E52CD789BF}</author>
  </authors>
  <commentList>
    <comment ref="B1" authorId="0" shapeId="0" xr:uid="{1B90C4CE-B528-44CD-81CD-24CFEA7B47EE}">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
      </text>
    </comment>
    <comment ref="F5" authorId="1" shapeId="0" xr:uid="{BCE437C7-44AF-433A-9056-7857DA54E2B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Försättsblad.</t>
      </text>
    </comment>
    <comment ref="M9" authorId="2" shapeId="0" xr:uid="{8A797C44-B783-4003-A577-32E52CD789BF}">
      <text>
        <t>[Threaded comment]
Your version of Excel allows you to read this threaded comment; however, any edits to it will get removed if the file is opened in a newer version of Excel. Learn more: https://go.microsoft.com/fwlink/?linkid=870924
Comment:
    Här beräknas osäkerheten utifrån vad du angett för min- och max. Det kan hjälpa er att se var den största osäkerheten finns. Formlen är (min/max)/5/Troligt värde).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tc={6D5C3650-EEC9-4235-8882-070EBAB7D37F}</author>
  </authors>
  <commentList>
    <comment ref="C4" authorId="0" shapeId="0" xr:uid="{6D5C3650-EEC9-4235-8882-070EBAB7D37F}">
      <text>
        <t>[Threaded comment]
Your version of Excel allows you to read this threaded comment; however, any edits to it will get removed if the file is opened in a newer version of Excel. Learn more: https://go.microsoft.com/fwlink/?linkid=870924
Comment:
    Om du har uppdaterat dina beräkningar kan du se resultatet nedan genom att klicka på  "Uppdatera alla" under fliken Data. Du kan behöva markera en cell i den här fliken först.</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52FBB7-A157-4F72-98EB-62D1293CA7C3}" keepAlive="1" name="ThisWorkbookDataModel" description="Data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17F0E8E-723A-4516-BCA9-1EFD469EC307}" name="WorksheetConnection_Nyttokalkyl_mall_2.0.1.xlsx!Kostnader" type="102" refreshedVersion="7" minRefreshableVersion="5">
    <extLst>
      <ext xmlns:x15="http://schemas.microsoft.com/office/spreadsheetml/2010/11/main" uri="{DE250136-89BD-433C-8126-D09CA5730AF9}">
        <x15:connection id="Kostnader">
          <x15:rangePr sourceName="_xlcn.WorksheetConnection_Nyttokalkyl_mall_2.0.1.xlsxKostnader"/>
        </x15:connection>
      </ext>
    </extLst>
  </connection>
  <connection id="3" xr16:uid="{5557CFCC-D211-407E-918B-20266AA9FE51}" name="WorksheetConnection_Nyttokalkyl_mall_2.0.1.xlsx!Kostnadskategori" type="102" refreshedVersion="7" minRefreshableVersion="5">
    <extLst>
      <ext xmlns:x15="http://schemas.microsoft.com/office/spreadsheetml/2010/11/main" uri="{DE250136-89BD-433C-8126-D09CA5730AF9}">
        <x15:connection id="Kostnadskategori">
          <x15:rangePr sourceName="_xlcn.WorksheetConnection_Nyttokalkyl_mall_2.0.1.xlsxKostnadskategori"/>
        </x15:connection>
      </ext>
    </extLst>
  </connection>
  <connection id="4" xr16:uid="{189AB4F3-5FFA-4A19-A2F4-6EC25207254F}" name="WorksheetConnection_Nyttokalkyl_mall_2.0.1.xlsx!Nyttokategori" type="102" refreshedVersion="7" minRefreshableVersion="5">
    <extLst>
      <ext xmlns:x15="http://schemas.microsoft.com/office/spreadsheetml/2010/11/main" uri="{DE250136-89BD-433C-8126-D09CA5730AF9}">
        <x15:connection id="Nyttokategori">
          <x15:rangePr sourceName="_xlcn.WorksheetConnection_Nyttokalkyl_mall_2.0.1.xlsxNyttokategori"/>
        </x15:connection>
      </ext>
    </extLst>
  </connection>
  <connection id="5" xr16:uid="{40AFD0DF-64EA-4C07-B1C9-CDF041A9F50A}" name="WorksheetConnection_Nyttokalkyl_mall_2.0.1.xlsx!Nyttor" type="102" refreshedVersion="7" minRefreshableVersion="5">
    <extLst>
      <ext xmlns:x15="http://schemas.microsoft.com/office/spreadsheetml/2010/11/main" uri="{DE250136-89BD-433C-8126-D09CA5730AF9}">
        <x15:connection id="Nyttor">
          <x15:rangePr sourceName="_xlcn.WorksheetConnection_Nyttokalkyl_mall_2.0.1.xlsxNyttor"/>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Nyttokategori].[Nyttokategori].&amp;[Finansiell nytta]}"/>
    <s v="{[Nyttokategori].[Nyttokategori].&amp;[Finansiell nytta],[Nyttokategori].[Nyttokategori].&amp;[Omfördelningsnytta]}"/>
    <s v="{[Nyttokategori].[Nyttokategori].&amp;[Omfördelningsnytta]}"/>
    <s v="{[Kostnadskategori].[Kostnadskategori].&amp;[Projekt],[Kostnadskategori].[Kostnadskategori].&amp;[Investeringar],[Kostnadskategori].[Kostnadskategori].&amp;[Verksamhetsförändring],[Kostnadskategori].[Kostnadskategori].&amp;[Löpande verksamhetskostnader]}"/>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<sst xmlns="http://schemas.openxmlformats.org/spreadsheetml/2006/main" count="758" uniqueCount="200">
  <si>
    <t>Nyttor</t>
  </si>
  <si>
    <t>Datum</t>
  </si>
  <si>
    <t>Min</t>
  </si>
  <si>
    <t>Max</t>
  </si>
  <si>
    <t>Osäkerhet</t>
  </si>
  <si>
    <t>Total kostnad</t>
  </si>
  <si>
    <t>Nettonytta</t>
  </si>
  <si>
    <t>Intressent</t>
  </si>
  <si>
    <t>Intressenter</t>
  </si>
  <si>
    <t>Startår</t>
  </si>
  <si>
    <t>Summa</t>
  </si>
  <si>
    <t>Kostnad</t>
  </si>
  <si>
    <t>Nytta</t>
  </si>
  <si>
    <t>Ackumulerad nettonytta</t>
  </si>
  <si>
    <t>Totalt</t>
  </si>
  <si>
    <t>Troligt</t>
  </si>
  <si>
    <t xml:space="preserve">Intressent </t>
  </si>
  <si>
    <t>Nyttokategori</t>
  </si>
  <si>
    <t>Version</t>
  </si>
  <si>
    <t>Författare</t>
  </si>
  <si>
    <t>Kommentar</t>
  </si>
  <si>
    <t>Nyttans namn</t>
  </si>
  <si>
    <t>Kostnadskategori</t>
  </si>
  <si>
    <t>Kostnadens namn</t>
  </si>
  <si>
    <t>Total nytta</t>
  </si>
  <si>
    <t>Finansiella nyttor</t>
  </si>
  <si>
    <t>Fördefinierade värden i rullisterna</t>
  </si>
  <si>
    <t>Finansiell nytta</t>
  </si>
  <si>
    <t>Underlag för rullister i mallen</t>
  </si>
  <si>
    <t>Ack. diskonterat kassaflöde &gt; 0?</t>
  </si>
  <si>
    <t>Underlag för payback-år</t>
  </si>
  <si>
    <t>Paybackår?</t>
  </si>
  <si>
    <t>Är detta ett paybackår?</t>
  </si>
  <si>
    <t>Första paybackår (om något)</t>
  </si>
  <si>
    <t>Omfördelningsnytta</t>
  </si>
  <si>
    <t>Investeringar</t>
  </si>
  <si>
    <t>Omfördelningsnyttor</t>
  </si>
  <si>
    <t>Projekt</t>
  </si>
  <si>
    <t>Admin</t>
  </si>
  <si>
    <t>Finansiell nettonytta</t>
  </si>
  <si>
    <t>Omfördelnings-nettonytta</t>
  </si>
  <si>
    <t>Ackumulerad omfördelnings-nettonytta</t>
  </si>
  <si>
    <t xml:space="preserve">Källa </t>
  </si>
  <si>
    <t>Summa min</t>
  </si>
  <si>
    <t>Summa max</t>
  </si>
  <si>
    <t>Summa trolig</t>
  </si>
  <si>
    <t>Alla nyttor</t>
  </si>
  <si>
    <t>Ackumulerad finansiell nettonytta</t>
  </si>
  <si>
    <t>Försättsblad</t>
  </si>
  <si>
    <t>Nyttokalkyl</t>
  </si>
  <si>
    <t xml:space="preserve">Grunden för att kunna redovisa nyttokalkylen uppdelad på typ av nytta. </t>
  </si>
  <si>
    <t>Diskonteringsränta</t>
  </si>
  <si>
    <t>Diskontering</t>
  </si>
  <si>
    <t>Namn på tjänst / projekt / förändringsinitiativ</t>
  </si>
  <si>
    <t>Troligt värde</t>
  </si>
  <si>
    <t xml:space="preserve">Min </t>
  </si>
  <si>
    <t>År</t>
  </si>
  <si>
    <t>Faktor</t>
  </si>
  <si>
    <t>Summa årlig nytta (SEK)</t>
  </si>
  <si>
    <t>Nr</t>
  </si>
  <si>
    <t>Rubrik på nyttan:</t>
  </si>
  <si>
    <t>Alla värden i den här tabellen är diskonterade.</t>
  </si>
  <si>
    <t>Räkna på kostnader</t>
  </si>
  <si>
    <t>Räkna på nyttor</t>
  </si>
  <si>
    <t>Rubrik på kostnaden:</t>
  </si>
  <si>
    <t>Verksamhetsförändring</t>
  </si>
  <si>
    <t>Löpande verksamhetskostnader</t>
  </si>
  <si>
    <t>Nyttor - sammanställning</t>
  </si>
  <si>
    <t>Kostnader - sammanställning</t>
  </si>
  <si>
    <t>Regioner</t>
  </si>
  <si>
    <t>Summa årlig kostnad (SEK)</t>
  </si>
  <si>
    <t>Nytta - min</t>
  </si>
  <si>
    <t>Nytta - trolig</t>
  </si>
  <si>
    <t>Nytta - max</t>
  </si>
  <si>
    <t>Kostnad - min</t>
  </si>
  <si>
    <t>Kostnad - trolig</t>
  </si>
  <si>
    <t>Kostnad - max</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</si>
  <si>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</si>
  <si>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</si>
  <si>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</si>
  <si>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</si>
  <si>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</si>
  <si>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</si>
  <si>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</si>
  <si>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</si>
  <si>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</si>
  <si>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</si>
  <si>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</si>
  <si>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</si>
  <si>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</si>
  <si>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</si>
  <si>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</si>
  <si>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</si>
  <si>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</si>
  <si>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</si>
  <si>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</si>
  <si>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</si>
  <si>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Värden</t>
  </si>
  <si>
    <t>Trolig år 1</t>
  </si>
  <si>
    <t>Trolig år 2</t>
  </si>
  <si>
    <t>Trolig år 3</t>
  </si>
  <si>
    <t>Trolig år 4</t>
  </si>
  <si>
    <t>Trolig år 5</t>
  </si>
  <si>
    <t>Trolig år 6</t>
  </si>
  <si>
    <t>Troliga nyttor</t>
  </si>
  <si>
    <t>Troliga kostnader</t>
  </si>
  <si>
    <t>Total nytta och kostnad år för år</t>
  </si>
  <si>
    <t>Tidsperiod</t>
  </si>
  <si>
    <t>Sammanfattning</t>
  </si>
  <si>
    <t>Fördelning av nyttor och kostnader mellan intressenter</t>
  </si>
  <si>
    <t>År 1</t>
  </si>
  <si>
    <t>År 2</t>
  </si>
  <si>
    <t>År 3</t>
  </si>
  <si>
    <t>År 4</t>
  </si>
  <si>
    <t>År 5</t>
  </si>
  <si>
    <t>År 6</t>
  </si>
  <si>
    <t>Kostnad min</t>
  </si>
  <si>
    <t>Kostnad max</t>
  </si>
  <si>
    <t>Nytta max</t>
  </si>
  <si>
    <t>Nytta min</t>
  </si>
  <si>
    <t>Ackumulerad nettonytta max</t>
  </si>
  <si>
    <t>Ackumulerad nettonytta min</t>
  </si>
  <si>
    <t>Nytta -min-max</t>
  </si>
  <si>
    <t>Osäkerhet - finansiella nyttor</t>
  </si>
  <si>
    <t>Sammanfattning - omfördelningsnytta</t>
  </si>
  <si>
    <t>Fördelning av nyttor - finansiell nytta</t>
  </si>
  <si>
    <t>Osäkerhet - omfördelningnyttor</t>
  </si>
  <si>
    <t>Fördelning av nyttor och kostnader mellan intressenter - omfördelningsnytta</t>
  </si>
  <si>
    <t>Fördelning av nyttor och kostnader mellan intressenter - finansiell nytta</t>
  </si>
  <si>
    <t>Alla nyttor (både finansiell nytta och omfördelningsnytta)</t>
  </si>
  <si>
    <t xml:space="preserve">Uppdatera innehållet genom fliken Data --&gt; Uppdatera alla </t>
  </si>
  <si>
    <t>Fördelning av nyttor - alla nyttor</t>
  </si>
  <si>
    <t>Fördelning av kostnader</t>
  </si>
  <si>
    <t>Summan av Troligt år 1</t>
  </si>
  <si>
    <t>Summan av Troligt år 2</t>
  </si>
  <si>
    <t>Summan av Troligt år 3</t>
  </si>
  <si>
    <t>Summan av Troligt år 4</t>
  </si>
  <si>
    <t>Summan av Troligt år 5</t>
  </si>
  <si>
    <t>Summan av Troligt år 6</t>
  </si>
  <si>
    <t>Summan av Trolig år 1</t>
  </si>
  <si>
    <t>Summan av Trolig år 2</t>
  </si>
  <si>
    <t>Summan av Trolig år 3</t>
  </si>
  <si>
    <t>Summan av Trolig år 4</t>
  </si>
  <si>
    <t>Summan av Trolig år 5</t>
  </si>
  <si>
    <t>Summan av Trolig år 6</t>
  </si>
  <si>
    <t>Summan av Summa trolig</t>
  </si>
  <si>
    <t>Summan av Summa min</t>
  </si>
  <si>
    <t>Summan av Summa max</t>
  </si>
  <si>
    <t>Summan av Max år 1</t>
  </si>
  <si>
    <t>Summan av Max år 2</t>
  </si>
  <si>
    <t>Summan av Max år 3</t>
  </si>
  <si>
    <t>Summan av Max år 4</t>
  </si>
  <si>
    <t>Summan av Max år 5</t>
  </si>
  <si>
    <t>Summan av Max år 6</t>
  </si>
  <si>
    <t>Summan av Min år 1</t>
  </si>
  <si>
    <t>Summan av Min år 2</t>
  </si>
  <si>
    <t>Summan av Min år 3</t>
  </si>
  <si>
    <t>Summan av Min år 4</t>
  </si>
  <si>
    <t>Summan av Min år 5</t>
  </si>
  <si>
    <t>Summan av Min år 6</t>
  </si>
  <si>
    <t>Mallversion 2.0.5, 2021-08-25</t>
  </si>
  <si>
    <t>Osäkerhet - alla nyttor</t>
  </si>
  <si>
    <t>Fördelning av nyttor och kostnader mellan intressenter - alla nyttor</t>
  </si>
  <si>
    <t>Möjlighet till elektoronisk identifiering av de som ringer 1177</t>
  </si>
  <si>
    <t>Invånare</t>
  </si>
  <si>
    <t>0.1</t>
  </si>
  <si>
    <t>Amanda Sundberg</t>
  </si>
  <si>
    <t>En första version</t>
  </si>
  <si>
    <t>Ökad tillgänglighet hos 1177</t>
  </si>
  <si>
    <t>Idébeskrivningen</t>
  </si>
  <si>
    <t>Antal samtal till 1177 per månad</t>
  </si>
  <si>
    <t>Antal samtal till 1177 per år</t>
  </si>
  <si>
    <t>Andel inringande som förväntas identifiera sig elektroniskt</t>
  </si>
  <si>
    <t>Antal samtal där invånaren identifierat sig elektroniskt</t>
  </si>
  <si>
    <t>Antal minuter som frigörs med elektronisk identifiering</t>
  </si>
  <si>
    <t>Frigjord samtalstid (min)</t>
  </si>
  <si>
    <t>Samtalstid per samtal i snitt (min)</t>
  </si>
  <si>
    <t>Frigjorda samtal</t>
  </si>
  <si>
    <t>Frigjorda timmar</t>
  </si>
  <si>
    <t>Kostnad per timme för en sjuksköterska (SEK)</t>
  </si>
  <si>
    <t>Värde frigjord tid</t>
  </si>
  <si>
    <t>Utveckling</t>
  </si>
  <si>
    <t>Column Labels</t>
  </si>
  <si>
    <t>(Multiple Items)</t>
  </si>
  <si>
    <t>Row Labels</t>
  </si>
  <si>
    <t>Grand Total</t>
  </si>
  <si>
    <t>Kostnad för användning</t>
  </si>
  <si>
    <t>Tick-kostnad per elektronisk identifiering (SEK)</t>
  </si>
  <si>
    <t>Antal elektroniska identifieringar som föväntas per år</t>
  </si>
  <si>
    <t>Årlig kostnad</t>
  </si>
  <si>
    <t>Ineras kalkylfaktorer</t>
  </si>
  <si>
    <t>OBS!</t>
  </si>
  <si>
    <t>0.2</t>
  </si>
  <si>
    <t>Reviderar med nya uppgifter från Bengt Bergholm</t>
  </si>
  <si>
    <t>Interna kostnader Inera</t>
  </si>
  <si>
    <t>Drift och förvaltning</t>
  </si>
  <si>
    <t>Uppskattning Inera</t>
  </si>
  <si>
    <t>Hämtas fr. nyttofliken</t>
  </si>
  <si>
    <t>Antagande</t>
  </si>
  <si>
    <t>Regionernas interna kostnader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</si>
</sst>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 &quot;kr&quot;_-;\-* #,##0\ &quot;kr&quot;_-;_-* &quot;-&quot;??\ &quot;kr&quot;_-;_-@_-"/>
    <numFmt numFmtId="167" formatCode="0;\-0;;@"/>
    <numFmt numFmtId="168" formatCode="_-* #,##0.0\ _k_r_-;\-* #,##0.0\ _k_r_-;_-* &quot;-&quot;??\ _k_r_-;_-@_-"/>
  </numFmts>
  <fonts count="42" x14ac:knownFonts="1">
    <font>
      <sz val="10"/>
      <color rgb="FF000000"/>
      <name val="Arial"/>
      <family val="2"/>
      <scheme val="minor"/>
    </font>
    <font>
      <sz val="10"/>
      <color theme="1"/>
      <name val="Arial"/>
      <family val="2"/>
    </font>
    <font>
      <sz val="10"/>
      <color rgb="FF000000"/>
      <name val="Arial"/>
      <family val="2"/>
      <scheme val="minor"/>
    </font>
    <font>
      <b/>
      <i/>
      <sz val="10"/>
      <name val="Arial"/>
      <family val="2"/>
    </font>
    <font>
      <sz val="8"/>
      <color theme="0" tint="-0.499984740745262"/>
      <name val="Arial"/>
      <family val="2"/>
    </font>
    <font>
      <b/>
      <sz val="14"/>
      <color theme="0"/>
      <name val="Arial"/>
      <family val="2"/>
      <scheme val="minor"/>
    </font>
    <font>
      <sz val="10"/>
      <name val="Arial"/>
      <family val="2"/>
      <scheme val="minor"/>
    </font>
    <font>
      <sz val="8"/>
      <name val="Arial"/>
      <family val="2"/>
      <scheme val="minor"/>
    </font>
    <font>
      <sz val="14"/>
      <color rgb="FF000000"/>
      <name val="Arial"/>
      <family val="2"/>
      <scheme val="minor"/>
    </font>
    <font>
      <b/>
      <sz val="10"/>
      <name val="Arial"/>
      <family val="2"/>
      <scheme val="minor"/>
    </font>
    <font>
      <b/>
      <sz val="14"/>
      <name val="Arial"/>
      <family val="2"/>
      <scheme val="minor"/>
    </font>
    <font>
      <sz val="22"/>
      <name val="Arial"/>
      <family val="2"/>
    </font>
    <font>
      <sz val="16"/>
      <color rgb="FF000000"/>
      <name val="Arial"/>
      <family val="2"/>
      <scheme val="minor"/>
    </font>
    <font>
      <i/>
      <sz val="10"/>
      <name val="Arial"/>
      <family val="2"/>
      <scheme val="minor"/>
    </font>
    <font>
      <b/>
      <sz val="10"/>
      <name val="Arial"/>
      <family val="2"/>
    </font>
    <font>
      <i/>
      <sz val="10"/>
      <name val="Arial"/>
      <family val="2"/>
    </font>
    <font>
      <b/>
      <sz val="12"/>
      <name val="Arial"/>
      <family val="2"/>
      <scheme val="minor"/>
    </font>
    <font>
      <sz val="10"/>
      <name val="Arial"/>
      <family val="2"/>
    </font>
    <font>
      <sz val="18"/>
      <color theme="0" tint="-0.499984740745262"/>
      <name val="Arial"/>
      <family val="2"/>
    </font>
    <font>
      <sz val="16"/>
      <name val="Arial"/>
      <family val="2"/>
      <scheme val="minor"/>
    </font>
    <font>
      <b/>
      <sz val="10"/>
      <name val="Arial"/>
      <family val="2"/>
      <scheme val="major"/>
    </font>
    <font>
      <b/>
      <sz val="12"/>
      <name val="Arial"/>
      <family val="2"/>
      <scheme val="major"/>
    </font>
    <font>
      <sz val="10"/>
      <name val="Arial"/>
      <family val="2"/>
      <scheme val="major"/>
    </font>
    <font>
      <b/>
      <i/>
      <sz val="10"/>
      <name val="Arial"/>
      <family val="2"/>
      <scheme val="major"/>
    </font>
    <font>
      <sz val="8"/>
      <color theme="0" tint="-0.499984740745262"/>
      <name val="Arial"/>
      <family val="2"/>
      <scheme val="minor"/>
    </font>
    <font>
      <b/>
      <sz val="16"/>
      <name val="Arial"/>
      <family val="2"/>
      <scheme val="minor"/>
    </font>
    <font>
      <i/>
      <sz val="10"/>
      <name val="Arial"/>
      <family val="2"/>
      <scheme val="major"/>
    </font>
    <font>
      <sz val="11"/>
      <name val="Corbel"/>
      <family val="2"/>
    </font>
    <font>
      <b/>
      <sz val="24"/>
      <name val="Arial"/>
      <family val="2"/>
      <scheme val="minor"/>
    </font>
    <font>
      <b/>
      <sz val="18"/>
      <name val="Arial"/>
      <family val="2"/>
    </font>
    <font>
      <sz val="16"/>
      <name val="Arial"/>
      <family val="2"/>
    </font>
    <font>
      <b/>
      <i/>
      <sz val="16"/>
      <name val="Arial"/>
      <family val="2"/>
    </font>
    <font>
      <b/>
      <sz val="16"/>
      <name val="Arial"/>
      <family val="2"/>
    </font>
    <font>
      <b/>
      <sz val="48"/>
      <name val="Arial"/>
      <family val="2"/>
      <scheme val="minor"/>
    </font>
    <font>
      <sz val="14"/>
      <name val="Arial"/>
      <family val="2"/>
      <scheme val="minor"/>
    </font>
    <font>
      <sz val="18"/>
      <color theme="3"/>
      <name val="Arial"/>
      <family val="2"/>
      <scheme val="major"/>
    </font>
    <font>
      <b/>
      <sz val="15"/>
      <color theme="3"/>
      <name val="Arial"/>
      <family val="2"/>
      <scheme val="minor"/>
    </font>
    <font>
      <sz val="16"/>
      <name val="Arial"/>
      <family val="2"/>
      <scheme val="major"/>
    </font>
    <font>
      <sz val="15"/>
      <name val="Arial"/>
      <family val="2"/>
      <scheme val="minor"/>
    </font>
    <font>
      <b/>
      <sz val="18"/>
      <color rgb="FF000000"/>
      <name val="Arial"/>
      <family val="2"/>
      <scheme val="major"/>
    </font>
    <font>
      <sz val="14"/>
      <color rgb="FFBEA3D5"/>
      <name val="Arial"/>
      <family val="2"/>
      <scheme val="minor"/>
    </font>
    <font>
      <sz val="10"/>
      <color rgb="FF000000"/>
      <name val="Arial"/>
      <family val="2"/>
      <scheme val="major"/>
    </font>
  </fonts>
  <fills count="13">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BEA3D5"/>
        <bgColor indexed="64"/>
      </patternFill>
    </fill>
  </fills>
  <borders count="78">
    <border>
      <left/>
      <right/>
      <top/>
      <bottom/>
      <diagonal/>
    </border>
    <border>
      <left style="thin">
        <color theme="8" tint="-9.9978637043366805E-2"/>
      </left>
      <right style="thin">
        <color theme="8" tint="-9.9978637043366805E-2"/>
      </right>
      <top style="thin">
        <color theme="8" tint="-9.9978637043366805E-2"/>
      </top>
      <bottom style="thin">
        <color theme="8" tint="-9.9978637043366805E-2"/>
      </bottom>
      <diagonal/>
    </border>
    <border>
      <left style="thin">
        <color theme="8" tint="-9.9978637043366805E-2"/>
      </left>
      <right style="thin">
        <color theme="8" tint="-9.9978637043366805E-2"/>
      </right>
      <top/>
      <bottom style="thin">
        <color theme="8" tint="-9.9978637043366805E-2"/>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right/>
      <top style="thin">
        <color theme="1"/>
      </top>
      <bottom/>
      <diagonal/>
    </border>
    <border>
      <left style="thin">
        <color theme="1"/>
      </left>
      <right/>
      <top/>
      <bottom style="thin">
        <color theme="8" tint="-9.9978637043366805E-2"/>
      </bottom>
      <diagonal/>
    </border>
    <border>
      <left style="thin">
        <color theme="1"/>
      </left>
      <right/>
      <top style="thin">
        <color theme="8" tint="-9.9978637043366805E-2"/>
      </top>
      <bottom style="thin">
        <color theme="1"/>
      </bottom>
      <diagonal/>
    </border>
    <border>
      <left/>
      <right style="thin">
        <color theme="8" tint="-9.9978637043366805E-2"/>
      </right>
      <top style="thin">
        <color theme="1"/>
      </top>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theme="8" tint="-9.9978637043366805E-2"/>
      </bottom>
      <diagonal/>
    </border>
    <border>
      <left style="thin">
        <color theme="1"/>
      </left>
      <right style="thin">
        <color indexed="64"/>
      </right>
      <top/>
      <bottom style="thin">
        <color theme="8" tint="-9.9978637043366805E-2"/>
      </bottom>
      <diagonal/>
    </border>
    <border>
      <left style="thin">
        <color indexed="64"/>
      </left>
      <right style="thin">
        <color theme="8" tint="-9.9978637043366805E-2"/>
      </right>
      <top/>
      <bottom style="thin">
        <color indexed="64"/>
      </bottom>
      <diagonal/>
    </border>
    <border>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8" tint="-9.9978637043366805E-2"/>
      </left>
      <right/>
      <top style="double">
        <color theme="4"/>
      </top>
      <bottom style="thin">
        <color theme="4" tint="0.39997558519241921"/>
      </bottom>
      <diagonal/>
    </border>
    <border>
      <left style="thin">
        <color theme="4"/>
      </left>
      <right style="thin">
        <color theme="4"/>
      </right>
      <top style="thin">
        <color theme="4"/>
      </top>
      <bottom style="thin">
        <color theme="4"/>
      </bottom>
      <diagonal/>
    </border>
    <border>
      <left style="thin">
        <color theme="8" tint="-9.9978637043366805E-2"/>
      </left>
      <right/>
      <top style="double">
        <color theme="4"/>
      </top>
      <bottom/>
      <diagonal/>
    </border>
    <border>
      <left style="thin">
        <color theme="8" tint="-9.9978637043366805E-2"/>
      </left>
      <right/>
      <top style="thin">
        <color theme="8" tint="-9.9978637043366805E-2"/>
      </top>
      <bottom style="thin">
        <color theme="8" tint="-9.9978637043366805E-2"/>
      </bottom>
      <diagonal/>
    </border>
    <border>
      <left/>
      <right/>
      <top style="thin">
        <color theme="8" tint="-9.9978637043366805E-2"/>
      </top>
      <bottom style="thin">
        <color theme="8" tint="-9.9978637043366805E-2"/>
      </bottom>
      <diagonal/>
    </border>
    <border>
      <left/>
      <right style="thin">
        <color theme="8" tint="-9.9978637043366805E-2"/>
      </right>
      <top style="thin">
        <color theme="8" tint="-9.9978637043366805E-2"/>
      </top>
      <bottom style="thin">
        <color theme="8" tint="-9.9978637043366805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8" tint="-9.9978637043366805E-2"/>
      </left>
      <right style="thin">
        <color theme="8" tint="-9.9978637043366805E-2"/>
      </right>
      <top style="thin">
        <color theme="8" tint="-9.9978637043366805E-2"/>
      </top>
      <bottom/>
      <diagonal/>
    </border>
    <border>
      <left style="thin">
        <color theme="8" tint="-9.9978637043366805E-2"/>
      </left>
      <right/>
      <top/>
      <bottom style="thin">
        <color theme="8" tint="-9.9978637043366805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tint="0.39997558519241921"/>
      </bottom>
      <diagonal/>
    </border>
    <border>
      <left style="thin">
        <color theme="4"/>
      </left>
      <right style="thin">
        <color theme="4"/>
      </right>
      <top style="double">
        <color theme="4"/>
      </top>
      <bottom style="thin">
        <color theme="4" tint="0.39997558519241921"/>
      </bottom>
      <diagonal/>
    </border>
    <border>
      <left style="thin">
        <color theme="4"/>
      </left>
      <right style="thin">
        <color theme="4"/>
      </right>
      <top style="double">
        <color theme="4"/>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top/>
      <bottom style="thin">
        <color theme="4"/>
      </bottom>
      <diagonal/>
    </border>
    <border>
      <left/>
      <right/>
      <top style="double">
        <color theme="4"/>
      </top>
      <bottom/>
      <diagonal/>
    </border>
    <border>
      <left style="thin">
        <color theme="4"/>
      </left>
      <right style="thin">
        <color theme="8" tint="-9.9978637043366805E-2"/>
      </right>
      <top style="thin">
        <color theme="4"/>
      </top>
      <bottom style="thin">
        <color theme="4"/>
      </bottom>
      <diagonal/>
    </border>
    <border>
      <left style="thin">
        <color theme="8" tint="-9.9978637043366805E-2"/>
      </left>
      <right style="thin">
        <color theme="8" tint="-9.9978637043366805E-2"/>
      </right>
      <top style="thin">
        <color theme="4"/>
      </top>
      <bottom style="thin">
        <color theme="4"/>
      </bottom>
      <diagonal/>
    </border>
    <border>
      <left style="thin">
        <color theme="8" tint="-9.9978637043366805E-2"/>
      </left>
      <right style="thin">
        <color theme="4"/>
      </right>
      <top style="thin">
        <color theme="4"/>
      </top>
      <bottom style="thin">
        <color theme="4"/>
      </bottom>
      <diagonal/>
    </border>
    <border>
      <left style="thin">
        <color theme="9" tint="0.39997558519241921"/>
      </left>
      <right style="thin">
        <color theme="9" tint="0.39997558519241921"/>
      </right>
      <top style="thin">
        <color theme="9" tint="0.39997558519241921"/>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diagonal/>
    </border>
    <border>
      <left style="thin">
        <color theme="4"/>
      </left>
      <right style="thin">
        <color theme="4"/>
      </right>
      <top style="thin">
        <color theme="6" tint="0.39997558519241921"/>
      </top>
      <bottom style="thin">
        <color theme="4"/>
      </bottom>
      <diagonal/>
    </border>
    <border>
      <left style="thin">
        <color theme="8" tint="-9.9978637043366805E-2"/>
      </left>
      <right/>
      <top style="thin">
        <color theme="8" tint="-9.9978637043366805E-2"/>
      </top>
      <bottom style="thin">
        <color theme="4"/>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style="thin">
        <color theme="5" tint="0.59999389629810485"/>
      </left>
      <right style="thin">
        <color theme="5" tint="0.59999389629810485"/>
      </right>
      <top style="thin">
        <color theme="5" tint="0.59999389629810485"/>
      </top>
      <bottom style="double">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5" tint="0.59999389629810485"/>
      </left>
      <right style="thin">
        <color theme="5" tint="0.59999389629810485"/>
      </right>
      <top style="double">
        <color theme="5" tint="0.59999389629810485"/>
      </top>
      <bottom style="double">
        <color theme="5" tint="0.59999389629810485"/>
      </bottom>
      <diagonal/>
    </border>
    <border>
      <left/>
      <right/>
      <top style="thin">
        <color theme="5" tint="0.59999389629810485"/>
      </top>
      <bottom style="double">
        <color theme="5" tint="0.59999389629810485"/>
      </bottom>
      <diagonal/>
    </border>
    <border>
      <left style="thin">
        <color theme="5" tint="0.59999389629810485"/>
      </left>
      <right/>
      <top style="thin">
        <color theme="5" tint="0.59999389629810485"/>
      </top>
      <bottom style="double">
        <color theme="5" tint="0.59999389629810485"/>
      </bottom>
      <diagonal/>
    </border>
    <border>
      <left/>
      <right style="thin">
        <color theme="5" tint="0.59999389629810485"/>
      </right>
      <top/>
      <bottom/>
      <diagonal/>
    </border>
    <border>
      <left/>
      <right/>
      <top/>
      <bottom style="thin">
        <color theme="4"/>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theme="4"/>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s>
  <cellStyleXfs count="6">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35" fillId="0" borderId="0" applyNumberFormat="0" applyFill="0" applyBorder="0" applyAlignment="0" applyProtection="0"/>
    <xf numFmtId="0" fontId="36" fillId="0" borderId="77" applyNumberFormat="0" applyFill="0" applyAlignment="0" applyProtection="0"/>
  </cellStyleXfs>
  <cellXfs count="308">
    <xf numFmtId="0" fontId="0" fillId="0" borderId="0" xfId="0"/>
    <xf numFmtId="0" fontId="0" fillId="0" borderId="0" xfId="0" pivotButton="1"/>
    <xf numFmtId="0" fontId="0" fillId="2" borderId="0" xfId="0" applyFill="1" applyAlignment="1">
      <alignment vertical="center"/>
    </xf>
    <xf numFmtId="0" fontId="0" fillId="2" borderId="0" xfId="0" applyFont="1" applyFill="1" applyAlignment="1">
      <alignment vertical="center"/>
    </xf>
    <xf numFmtId="0" fontId="4" fillId="2" borderId="0" xfId="0" applyFont="1" applyFill="1" applyBorder="1" applyAlignment="1" applyProtection="1">
      <alignment vertical="center"/>
    </xf>
    <xf numFmtId="0" fontId="0" fillId="2" borderId="0" xfId="0" applyFill="1"/>
    <xf numFmtId="0" fontId="0" fillId="3" borderId="0" xfId="0" applyFill="1" applyAlignment="1">
      <alignment vertical="center"/>
    </xf>
    <xf numFmtId="166" fontId="8" fillId="2" borderId="0" xfId="0" applyNumberFormat="1" applyFont="1" applyFill="1" applyAlignment="1">
      <alignment vertical="center"/>
    </xf>
    <xf numFmtId="0" fontId="8" fillId="2" borderId="0" xfId="0" applyFont="1" applyFill="1" applyAlignment="1">
      <alignment vertical="center"/>
    </xf>
    <xf numFmtId="0" fontId="5" fillId="7" borderId="0" xfId="0" applyFont="1" applyFill="1" applyAlignment="1" applyProtection="1">
      <alignment vertical="center"/>
    </xf>
    <xf numFmtId="0" fontId="0" fillId="7" borderId="0" xfId="0" applyFill="1" applyAlignment="1">
      <alignment vertical="center"/>
    </xf>
    <xf numFmtId="0" fontId="6" fillId="2" borderId="0" xfId="0" applyFont="1" applyFill="1" applyAlignment="1" applyProtection="1">
      <alignmen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6" fillId="0" borderId="0" xfId="0" applyFont="1"/>
    <xf numFmtId="0" fontId="12" fillId="2" borderId="0" xfId="0" applyFont="1" applyFill="1" applyAlignment="1">
      <alignment vertical="center"/>
    </xf>
    <xf numFmtId="0" fontId="12" fillId="2" borderId="0" xfId="0" applyFont="1" applyFill="1"/>
    <xf numFmtId="0" fontId="6" fillId="2" borderId="0" xfId="0" applyFont="1" applyFill="1" applyAlignment="1" applyProtection="1">
      <alignment horizontal="left" vertical="top"/>
    </xf>
    <xf numFmtId="165" fontId="6" fillId="2" borderId="0" xfId="0" applyNumberFormat="1" applyFont="1" applyFill="1" applyAlignment="1" applyProtection="1">
      <alignment vertical="center"/>
    </xf>
    <xf numFmtId="0" fontId="6" fillId="2" borderId="0" xfId="0" applyFont="1" applyFill="1" applyAlignment="1" applyProtection="1">
      <alignment horizontal="center" vertical="center"/>
    </xf>
    <xf numFmtId="0" fontId="6" fillId="2" borderId="0" xfId="0" applyFont="1" applyFill="1" applyAlignment="1" applyProtection="1">
      <alignment vertical="center" wrapText="1"/>
    </xf>
    <xf numFmtId="0" fontId="6" fillId="0" borderId="1" xfId="0" applyFont="1" applyBorder="1" applyProtection="1">
      <protection locked="0"/>
    </xf>
    <xf numFmtId="0" fontId="6" fillId="0" borderId="0" xfId="0" applyFont="1" applyBorder="1"/>
    <xf numFmtId="0" fontId="6" fillId="4" borderId="1" xfId="0" applyFont="1" applyFill="1" applyBorder="1" applyAlignment="1">
      <alignment horizontal="center"/>
    </xf>
    <xf numFmtId="0" fontId="6" fillId="0" borderId="1" xfId="0" applyFont="1" applyBorder="1" applyAlignment="1" applyProtection="1">
      <alignment horizontal="center"/>
      <protection locked="0"/>
    </xf>
    <xf numFmtId="0" fontId="9" fillId="0" borderId="0" xfId="0" applyFont="1"/>
    <xf numFmtId="0" fontId="20" fillId="2" borderId="0" xfId="0" applyFont="1" applyFill="1"/>
    <xf numFmtId="165" fontId="22" fillId="2" borderId="1" xfId="2" applyNumberFormat="1" applyFont="1" applyFill="1" applyBorder="1"/>
    <xf numFmtId="9" fontId="6" fillId="2" borderId="1" xfId="3" applyFont="1" applyFill="1" applyBorder="1" applyAlignment="1" applyProtection="1">
      <alignment horizontal="center"/>
      <protection locked="0"/>
    </xf>
    <xf numFmtId="165" fontId="20" fillId="2" borderId="34" xfId="2" applyNumberFormat="1" applyFont="1" applyFill="1" applyBorder="1" applyAlignment="1">
      <alignment horizontal="center"/>
    </xf>
    <xf numFmtId="0" fontId="5" fillId="2" borderId="0" xfId="0" applyFont="1" applyFill="1" applyAlignment="1" applyProtection="1">
      <alignment vertical="center"/>
    </xf>
    <xf numFmtId="0" fontId="0" fillId="8" borderId="0" xfId="0" applyFill="1" applyAlignment="1">
      <alignment vertical="center"/>
    </xf>
    <xf numFmtId="0" fontId="0" fillId="2" borderId="0" xfId="0" pivotButton="1" applyFill="1" applyAlignment="1">
      <alignment vertical="center"/>
    </xf>
    <xf numFmtId="0" fontId="22" fillId="2" borderId="0" xfId="0" applyFont="1" applyFill="1" applyAlignment="1"/>
    <xf numFmtId="0" fontId="20" fillId="2" borderId="0" xfId="0" applyFont="1" applyFill="1" applyAlignment="1"/>
    <xf numFmtId="0" fontId="6" fillId="4" borderId="1" xfId="0" applyFont="1" applyFill="1" applyBorder="1" applyAlignment="1">
      <alignment horizontal="left"/>
    </xf>
    <xf numFmtId="0" fontId="6" fillId="8" borderId="38" xfId="0" applyFont="1" applyFill="1" applyBorder="1" applyAlignment="1">
      <alignment horizontal="center"/>
    </xf>
    <xf numFmtId="0" fontId="0" fillId="0" borderId="38" xfId="0" applyBorder="1" applyProtection="1">
      <protection locked="0"/>
    </xf>
    <xf numFmtId="14" fontId="0" fillId="0" borderId="38" xfId="0" applyNumberFormat="1" applyBorder="1" applyProtection="1">
      <protection locked="0"/>
    </xf>
    <xf numFmtId="0" fontId="6" fillId="0" borderId="38" xfId="0" applyFont="1" applyBorder="1" applyProtection="1">
      <protection locked="0"/>
    </xf>
    <xf numFmtId="14" fontId="6" fillId="0" borderId="38" xfId="0" applyNumberFormat="1" applyFont="1" applyBorder="1" applyProtection="1">
      <protection locked="0"/>
    </xf>
    <xf numFmtId="0" fontId="22" fillId="2" borderId="0" xfId="0" applyFont="1" applyFill="1" applyAlignment="1">
      <alignment vertical="center"/>
    </xf>
    <xf numFmtId="0" fontId="20" fillId="2" borderId="0" xfId="0" applyFont="1" applyFill="1" applyBorder="1" applyAlignment="1" applyProtection="1">
      <alignment vertical="center"/>
    </xf>
    <xf numFmtId="0" fontId="20" fillId="2" borderId="0" xfId="0" applyFont="1" applyFill="1" applyAlignment="1">
      <alignment vertical="center"/>
    </xf>
    <xf numFmtId="0" fontId="22" fillId="2" borderId="0" xfId="0" applyFont="1" applyFill="1"/>
    <xf numFmtId="0" fontId="23" fillId="2" borderId="0" xfId="0" applyFont="1" applyFill="1" applyAlignment="1">
      <alignment horizontal="center" vertical="center"/>
    </xf>
    <xf numFmtId="0" fontId="20" fillId="2" borderId="0" xfId="0" applyFont="1" applyFill="1" applyAlignment="1">
      <alignment horizontal="center" vertical="center"/>
    </xf>
    <xf numFmtId="165" fontId="22" fillId="2" borderId="0" xfId="2" applyNumberFormat="1" applyFont="1" applyFill="1" applyBorder="1"/>
    <xf numFmtId="165" fontId="20" fillId="2" borderId="0" xfId="2" applyNumberFormat="1" applyFont="1" applyFill="1" applyBorder="1" applyAlignment="1">
      <alignment horizontal="center"/>
    </xf>
    <xf numFmtId="165" fontId="22" fillId="2" borderId="39" xfId="2" applyNumberFormat="1" applyFont="1" applyFill="1" applyBorder="1"/>
    <xf numFmtId="165" fontId="22" fillId="4" borderId="32" xfId="2" applyNumberFormat="1" applyFont="1" applyFill="1" applyBorder="1" applyAlignment="1">
      <alignment horizontal="center"/>
    </xf>
    <xf numFmtId="0" fontId="6" fillId="4" borderId="2" xfId="0" applyFont="1" applyFill="1" applyBorder="1" applyAlignment="1">
      <alignment horizontal="center"/>
    </xf>
    <xf numFmtId="165" fontId="22" fillId="2" borderId="1" xfId="2" applyNumberFormat="1" applyFont="1" applyFill="1" applyBorder="1" applyAlignment="1"/>
    <xf numFmtId="0" fontId="22" fillId="2" borderId="0" xfId="0" applyFont="1" applyFill="1" applyAlignment="1">
      <alignment horizontal="center" vertical="center"/>
    </xf>
    <xf numFmtId="0" fontId="26" fillId="2" borderId="0" xfId="0" applyFont="1" applyFill="1" applyAlignment="1"/>
    <xf numFmtId="164" fontId="6" fillId="4" borderId="1" xfId="2" applyNumberFormat="1" applyFont="1" applyFill="1" applyBorder="1" applyAlignment="1">
      <alignment horizontal="center"/>
    </xf>
    <xf numFmtId="0" fontId="6" fillId="2" borderId="0" xfId="0" applyFont="1" applyFill="1" applyAlignment="1" applyProtection="1">
      <alignment horizontal="left" vertical="center"/>
    </xf>
    <xf numFmtId="0" fontId="6" fillId="4" borderId="39" xfId="0" applyFont="1" applyFill="1" applyBorder="1" applyAlignment="1">
      <alignment horizontal="center"/>
    </xf>
    <xf numFmtId="165" fontId="20" fillId="5" borderId="44" xfId="0" applyNumberFormat="1" applyFont="1" applyFill="1" applyBorder="1" applyAlignment="1">
      <alignment horizontal="center"/>
    </xf>
    <xf numFmtId="165" fontId="20" fillId="5" borderId="45" xfId="0" applyNumberFormat="1" applyFont="1" applyFill="1" applyBorder="1" applyAlignment="1">
      <alignment horizontal="center"/>
    </xf>
    <xf numFmtId="165" fontId="20" fillId="5" borderId="46" xfId="0" applyNumberFormat="1" applyFont="1" applyFill="1" applyBorder="1" applyAlignment="1">
      <alignment horizontal="center"/>
    </xf>
    <xf numFmtId="0" fontId="6" fillId="4" borderId="48" xfId="0" applyFont="1" applyFill="1" applyBorder="1" applyAlignment="1">
      <alignment horizontal="left"/>
    </xf>
    <xf numFmtId="0" fontId="6" fillId="4" borderId="47" xfId="0" applyFont="1" applyFill="1" applyBorder="1" applyAlignment="1">
      <alignment horizontal="center"/>
    </xf>
    <xf numFmtId="0" fontId="6" fillId="4" borderId="49" xfId="0" applyFont="1" applyFill="1" applyBorder="1" applyAlignment="1">
      <alignment horizontal="center"/>
    </xf>
    <xf numFmtId="165" fontId="9" fillId="5" borderId="34" xfId="0" applyNumberFormat="1" applyFont="1" applyFill="1" applyBorder="1" applyAlignment="1" applyProtection="1">
      <alignment horizontal="center"/>
    </xf>
    <xf numFmtId="167" fontId="6" fillId="2" borderId="47" xfId="0" applyNumberFormat="1" applyFont="1" applyFill="1" applyBorder="1" applyProtection="1"/>
    <xf numFmtId="165" fontId="6" fillId="2" borderId="2" xfId="2" applyNumberFormat="1" applyFont="1" applyFill="1" applyBorder="1" applyProtection="1"/>
    <xf numFmtId="167" fontId="6" fillId="2" borderId="2" xfId="0" applyNumberFormat="1" applyFont="1" applyFill="1" applyBorder="1" applyProtection="1"/>
    <xf numFmtId="167" fontId="6" fillId="2" borderId="33" xfId="0" applyNumberFormat="1" applyFont="1" applyFill="1" applyBorder="1" applyProtection="1"/>
    <xf numFmtId="165" fontId="6" fillId="2" borderId="1" xfId="2" applyNumberFormat="1" applyFont="1" applyFill="1" applyBorder="1" applyProtection="1"/>
    <xf numFmtId="167" fontId="6" fillId="2" borderId="1" xfId="0" applyNumberFormat="1" applyFont="1" applyFill="1" applyBorder="1" applyProtection="1"/>
    <xf numFmtId="165" fontId="9" fillId="5" borderId="50" xfId="0" applyNumberFormat="1" applyFont="1" applyFill="1" applyBorder="1" applyAlignment="1" applyProtection="1">
      <alignment horizontal="left"/>
    </xf>
    <xf numFmtId="0" fontId="9" fillId="4" borderId="51" xfId="0" applyFont="1" applyFill="1" applyBorder="1" applyAlignment="1">
      <alignment horizontal="center"/>
    </xf>
    <xf numFmtId="0" fontId="9" fillId="4" borderId="52" xfId="0" applyFont="1" applyFill="1" applyBorder="1" applyAlignment="1">
      <alignment horizontal="center"/>
    </xf>
    <xf numFmtId="0" fontId="9" fillId="4" borderId="53" xfId="0" applyFont="1" applyFill="1" applyBorder="1" applyAlignment="1">
      <alignment horizontal="center"/>
    </xf>
    <xf numFmtId="0" fontId="16" fillId="2" borderId="0" xfId="0" applyFont="1" applyFill="1" applyAlignment="1" applyProtection="1">
      <alignment vertical="center"/>
    </xf>
    <xf numFmtId="0" fontId="9" fillId="2" borderId="0" xfId="0" applyFont="1" applyFill="1" applyAlignment="1" applyProtection="1">
      <alignment vertical="center"/>
    </xf>
    <xf numFmtId="0" fontId="27" fillId="0" borderId="0" xfId="0" applyFont="1" applyAlignment="1">
      <alignment vertical="center"/>
    </xf>
    <xf numFmtId="1" fontId="9" fillId="9" borderId="54" xfId="2" applyNumberFormat="1" applyFont="1" applyFill="1" applyBorder="1" applyAlignment="1" applyProtection="1">
      <alignment horizontal="center"/>
      <protection locked="0"/>
    </xf>
    <xf numFmtId="0" fontId="10" fillId="2" borderId="0" xfId="0" applyFont="1" applyFill="1" applyAlignment="1" applyProtection="1">
      <alignment vertical="center"/>
    </xf>
    <xf numFmtId="0" fontId="11" fillId="2" borderId="0" xfId="0" applyFont="1" applyFill="1" applyBorder="1" applyAlignment="1" applyProtection="1">
      <alignment vertical="center"/>
    </xf>
    <xf numFmtId="0" fontId="6" fillId="2" borderId="0" xfId="0" applyFont="1" applyFill="1" applyAlignment="1">
      <alignment vertical="center"/>
    </xf>
    <xf numFmtId="0" fontId="28" fillId="2" borderId="0" xfId="0" applyFont="1" applyFill="1" applyAlignment="1" applyProtection="1">
      <alignment vertical="center"/>
    </xf>
    <xf numFmtId="0" fontId="29" fillId="2" borderId="0" xfId="0" applyFont="1" applyFill="1" applyBorder="1" applyAlignment="1" applyProtection="1">
      <alignment vertical="center"/>
    </xf>
    <xf numFmtId="0" fontId="18" fillId="2" borderId="0" xfId="0" applyFont="1" applyFill="1" applyBorder="1" applyAlignment="1" applyProtection="1">
      <alignment vertical="center"/>
    </xf>
    <xf numFmtId="0" fontId="6" fillId="2" borderId="0" xfId="0" applyFont="1" applyFill="1"/>
    <xf numFmtId="0" fontId="20" fillId="4" borderId="0" xfId="0" applyFont="1" applyFill="1" applyAlignment="1">
      <alignment vertical="center"/>
    </xf>
    <xf numFmtId="0" fontId="21" fillId="4" borderId="0" xfId="0" applyFont="1" applyFill="1" applyAlignment="1" applyProtection="1">
      <alignment vertical="center"/>
    </xf>
    <xf numFmtId="0" fontId="20" fillId="4" borderId="0" xfId="0" applyFont="1" applyFill="1" applyAlignment="1" applyProtection="1">
      <alignment vertical="center"/>
    </xf>
    <xf numFmtId="0" fontId="22" fillId="4" borderId="0" xfId="0" applyFont="1" applyFill="1"/>
    <xf numFmtId="0" fontId="22" fillId="4" borderId="0" xfId="0" applyFont="1" applyFill="1" applyAlignment="1">
      <alignment vertical="center"/>
    </xf>
    <xf numFmtId="0" fontId="23" fillId="4" borderId="0" xfId="0" applyFont="1" applyFill="1" applyAlignment="1">
      <alignment horizontal="center" vertical="center"/>
    </xf>
    <xf numFmtId="0" fontId="20" fillId="4" borderId="0" xfId="0" applyFont="1" applyFill="1" applyAlignment="1"/>
    <xf numFmtId="0" fontId="22" fillId="4" borderId="0" xfId="0" applyFont="1" applyFill="1" applyBorder="1" applyAlignment="1" applyProtection="1">
      <alignment vertical="center"/>
    </xf>
    <xf numFmtId="0" fontId="20" fillId="4" borderId="0" xfId="0" applyFont="1" applyFill="1" applyBorder="1" applyAlignment="1" applyProtection="1">
      <alignment vertical="center"/>
    </xf>
    <xf numFmtId="0" fontId="22" fillId="4" borderId="0" xfId="0" applyFont="1" applyFill="1" applyAlignment="1"/>
    <xf numFmtId="168" fontId="22" fillId="2" borderId="1" xfId="2" applyNumberFormat="1" applyFont="1" applyFill="1" applyBorder="1"/>
    <xf numFmtId="164" fontId="20" fillId="2" borderId="32" xfId="2" applyFont="1" applyFill="1" applyBorder="1" applyAlignment="1">
      <alignment horizontal="center"/>
    </xf>
    <xf numFmtId="0" fontId="6" fillId="4" borderId="0" xfId="0" applyFont="1" applyFill="1"/>
    <xf numFmtId="0" fontId="0" fillId="4" borderId="0" xfId="0" applyFill="1"/>
    <xf numFmtId="0" fontId="9" fillId="4" borderId="0" xfId="0" applyFont="1" applyFill="1" applyAlignment="1" applyProtection="1">
      <alignment vertical="center"/>
    </xf>
    <xf numFmtId="0" fontId="16" fillId="4" borderId="0" xfId="0" applyFont="1" applyFill="1" applyAlignment="1" applyProtection="1">
      <alignment vertical="center"/>
    </xf>
    <xf numFmtId="0" fontId="24" fillId="4" borderId="0" xfId="0" applyFont="1" applyFill="1" applyAlignment="1" applyProtection="1">
      <alignment vertical="center"/>
    </xf>
    <xf numFmtId="14" fontId="9" fillId="4" borderId="0" xfId="0" applyNumberFormat="1" applyFont="1" applyFill="1" applyAlignment="1" applyProtection="1">
      <alignment vertical="center"/>
    </xf>
    <xf numFmtId="0" fontId="6" fillId="4" borderId="0" xfId="0" applyFont="1" applyFill="1" applyAlignment="1" applyProtection="1">
      <alignment vertical="center"/>
    </xf>
    <xf numFmtId="0" fontId="17" fillId="4" borderId="0" xfId="0" applyFont="1" applyFill="1" applyBorder="1" applyAlignment="1" applyProtection="1">
      <alignment horizontal="left" vertical="center"/>
    </xf>
    <xf numFmtId="0" fontId="14" fillId="4" borderId="0" xfId="0" applyFont="1" applyFill="1" applyBorder="1" applyAlignment="1" applyProtection="1">
      <alignment vertical="center"/>
    </xf>
    <xf numFmtId="0" fontId="3"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6" fillId="4" borderId="0" xfId="0" applyFont="1" applyFill="1" applyAlignment="1" applyProtection="1"/>
    <xf numFmtId="0" fontId="13" fillId="4" borderId="0" xfId="0" applyFont="1" applyFill="1" applyAlignment="1" applyProtection="1"/>
    <xf numFmtId="0" fontId="17" fillId="4" borderId="0" xfId="0" applyFont="1" applyFill="1" applyBorder="1" applyAlignment="1" applyProtection="1">
      <alignment vertical="center"/>
    </xf>
    <xf numFmtId="0" fontId="15" fillId="4" borderId="0" xfId="0" applyFont="1" applyFill="1" applyBorder="1" applyAlignment="1" applyProtection="1">
      <alignment vertical="center"/>
    </xf>
    <xf numFmtId="0" fontId="9" fillId="9" borderId="0" xfId="0" applyFont="1" applyFill="1" applyAlignment="1" applyProtection="1">
      <alignment vertical="center"/>
    </xf>
    <xf numFmtId="0" fontId="6" fillId="9" borderId="0" xfId="0" applyFont="1" applyFill="1" applyAlignment="1" applyProtection="1"/>
    <xf numFmtId="0" fontId="6" fillId="9" borderId="0" xfId="0" applyFont="1" applyFill="1" applyAlignment="1" applyProtection="1">
      <alignment vertical="center"/>
    </xf>
    <xf numFmtId="0" fontId="17" fillId="9" borderId="0" xfId="0" applyFont="1" applyFill="1" applyBorder="1" applyAlignment="1" applyProtection="1">
      <alignment vertical="center"/>
    </xf>
    <xf numFmtId="0" fontId="3" fillId="9" borderId="0" xfId="0" applyFont="1" applyFill="1" applyBorder="1" applyAlignment="1" applyProtection="1">
      <alignment horizontal="left" vertical="center"/>
    </xf>
    <xf numFmtId="0" fontId="3" fillId="9" borderId="0" xfId="0" applyFont="1" applyFill="1" applyBorder="1" applyAlignment="1" applyProtection="1">
      <alignment vertical="center"/>
    </xf>
    <xf numFmtId="0" fontId="13" fillId="9" borderId="0" xfId="0" applyFont="1" applyFill="1" applyAlignment="1" applyProtection="1">
      <alignment vertical="center"/>
    </xf>
    <xf numFmtId="0" fontId="12" fillId="0" borderId="0" xfId="0" applyFont="1"/>
    <xf numFmtId="0" fontId="19" fillId="2" borderId="0" xfId="0" applyFont="1" applyFill="1"/>
    <xf numFmtId="0" fontId="25" fillId="2" borderId="0" xfId="0" applyFont="1" applyFill="1"/>
    <xf numFmtId="0" fontId="6" fillId="4" borderId="58" xfId="0" applyFont="1" applyFill="1" applyBorder="1" applyAlignment="1">
      <alignment horizontal="center"/>
    </xf>
    <xf numFmtId="167" fontId="6" fillId="2" borderId="57" xfId="0" applyNumberFormat="1" applyFont="1" applyFill="1" applyBorder="1"/>
    <xf numFmtId="165" fontId="6" fillId="0" borderId="56" xfId="2" applyNumberFormat="1" applyFont="1" applyBorder="1" applyAlignment="1">
      <alignment horizontal="center"/>
    </xf>
    <xf numFmtId="165" fontId="6" fillId="9" borderId="56" xfId="2" applyNumberFormat="1" applyFont="1" applyFill="1" applyBorder="1" applyAlignment="1">
      <alignment horizontal="center" vertical="center" wrapText="1"/>
    </xf>
    <xf numFmtId="9" fontId="6" fillId="9" borderId="56" xfId="3" applyNumberFormat="1" applyFont="1" applyFill="1" applyBorder="1" applyAlignment="1">
      <alignment horizontal="center" vertical="center" wrapText="1"/>
    </xf>
    <xf numFmtId="165" fontId="9" fillId="9" borderId="0" xfId="2" applyNumberFormat="1" applyFont="1" applyFill="1" applyBorder="1" applyAlignment="1">
      <alignment horizontal="left"/>
    </xf>
    <xf numFmtId="165" fontId="9" fillId="9" borderId="60" xfId="2" applyNumberFormat="1" applyFont="1" applyFill="1" applyBorder="1" applyAlignment="1">
      <alignment horizontal="left"/>
    </xf>
    <xf numFmtId="1" fontId="9" fillId="9" borderId="60" xfId="2" applyNumberFormat="1" applyFont="1" applyFill="1" applyBorder="1" applyAlignment="1">
      <alignment horizontal="center"/>
    </xf>
    <xf numFmtId="0" fontId="6" fillId="9" borderId="59" xfId="0" applyFont="1" applyFill="1" applyBorder="1" applyAlignment="1">
      <alignment horizontal="center"/>
    </xf>
    <xf numFmtId="0" fontId="20" fillId="9" borderId="0" xfId="0" applyFont="1" applyFill="1" applyAlignment="1">
      <alignment vertical="center"/>
    </xf>
    <xf numFmtId="0" fontId="21" fillId="9" borderId="0" xfId="0" applyFont="1" applyFill="1" applyAlignment="1" applyProtection="1">
      <alignment vertical="center"/>
    </xf>
    <xf numFmtId="0" fontId="20" fillId="9" borderId="0" xfId="0" applyFont="1" applyFill="1" applyAlignment="1" applyProtection="1">
      <alignment vertical="center"/>
    </xf>
    <xf numFmtId="0" fontId="22" fillId="9" borderId="0" xfId="0" applyFont="1" applyFill="1"/>
    <xf numFmtId="0" fontId="22" fillId="9" borderId="0" xfId="0" applyFont="1" applyFill="1" applyAlignment="1">
      <alignment vertical="center"/>
    </xf>
    <xf numFmtId="0" fontId="23" fillId="9" borderId="0" xfId="0" applyFont="1" applyFill="1" applyAlignment="1">
      <alignment horizontal="center" vertical="center"/>
    </xf>
    <xf numFmtId="0" fontId="20" fillId="9" borderId="0" xfId="0" applyFont="1" applyFill="1" applyAlignment="1"/>
    <xf numFmtId="0" fontId="22" fillId="9" borderId="0" xfId="0" applyFont="1" applyFill="1" applyBorder="1" applyAlignment="1" applyProtection="1">
      <alignment vertical="center"/>
    </xf>
    <xf numFmtId="0" fontId="20" fillId="9" borderId="0" xfId="0" applyFont="1" applyFill="1" applyBorder="1" applyAlignment="1" applyProtection="1">
      <alignment vertical="center"/>
    </xf>
    <xf numFmtId="0" fontId="22" fillId="9" borderId="0" xfId="0" applyFont="1" applyFill="1" applyAlignment="1"/>
    <xf numFmtId="0" fontId="6" fillId="2" borderId="0" xfId="0" applyFont="1" applyFill="1" applyBorder="1" applyAlignment="1" applyProtection="1">
      <alignment vertical="center"/>
    </xf>
    <xf numFmtId="0" fontId="6" fillId="2" borderId="60" xfId="0" applyFont="1" applyFill="1" applyBorder="1" applyAlignment="1" applyProtection="1">
      <alignment vertical="center"/>
    </xf>
    <xf numFmtId="164" fontId="6" fillId="9" borderId="61" xfId="2" applyNumberFormat="1" applyFont="1" applyFill="1" applyBorder="1" applyAlignment="1">
      <alignment horizontal="center"/>
    </xf>
    <xf numFmtId="164" fontId="6" fillId="9" borderId="55" xfId="2" applyNumberFormat="1" applyFont="1" applyFill="1" applyBorder="1" applyAlignment="1">
      <alignment horizontal="center"/>
    </xf>
    <xf numFmtId="164" fontId="6" fillId="9" borderId="62" xfId="2" applyNumberFormat="1" applyFont="1" applyFill="1" applyBorder="1" applyAlignment="1">
      <alignment horizontal="center"/>
    </xf>
    <xf numFmtId="165" fontId="6" fillId="9" borderId="56" xfId="2" applyNumberFormat="1" applyFont="1" applyFill="1" applyBorder="1" applyAlignment="1">
      <alignment horizontal="center"/>
    </xf>
    <xf numFmtId="0" fontId="6" fillId="9" borderId="55" xfId="0" applyFont="1" applyFill="1" applyBorder="1" applyAlignment="1">
      <alignment horizontal="center"/>
    </xf>
    <xf numFmtId="165" fontId="22" fillId="2" borderId="55" xfId="2" applyNumberFormat="1" applyFont="1" applyFill="1" applyBorder="1"/>
    <xf numFmtId="168" fontId="22" fillId="2" borderId="55" xfId="2" applyNumberFormat="1" applyFont="1" applyFill="1" applyBorder="1"/>
    <xf numFmtId="167" fontId="6" fillId="2" borderId="55" xfId="0" applyNumberFormat="1" applyFont="1" applyFill="1" applyBorder="1"/>
    <xf numFmtId="165" fontId="22" fillId="2" borderId="55" xfId="2" applyNumberFormat="1" applyFont="1" applyFill="1" applyBorder="1" applyAlignment="1"/>
    <xf numFmtId="165" fontId="20" fillId="9" borderId="64" xfId="0" applyNumberFormat="1" applyFont="1" applyFill="1" applyBorder="1" applyAlignment="1">
      <alignment horizontal="center"/>
    </xf>
    <xf numFmtId="165" fontId="20" fillId="9" borderId="63" xfId="0" applyNumberFormat="1" applyFont="1" applyFill="1" applyBorder="1" applyAlignment="1">
      <alignment horizontal="center"/>
    </xf>
    <xf numFmtId="165" fontId="20" fillId="9" borderId="65" xfId="0" applyNumberFormat="1" applyFont="1" applyFill="1" applyBorder="1" applyAlignment="1">
      <alignment horizontal="center"/>
    </xf>
    <xf numFmtId="165" fontId="22" fillId="9" borderId="64" xfId="2" applyNumberFormat="1" applyFont="1" applyFill="1" applyBorder="1" applyAlignment="1">
      <alignment horizontal="center"/>
    </xf>
    <xf numFmtId="164" fontId="20" fillId="2" borderId="64" xfId="2" applyFont="1" applyFill="1" applyBorder="1" applyAlignment="1">
      <alignment horizontal="center"/>
    </xf>
    <xf numFmtId="165" fontId="22" fillId="2" borderId="63" xfId="2" applyNumberFormat="1" applyFont="1" applyFill="1" applyBorder="1"/>
    <xf numFmtId="168" fontId="22" fillId="2" borderId="63" xfId="2" applyNumberFormat="1" applyFont="1" applyFill="1" applyBorder="1"/>
    <xf numFmtId="165" fontId="6" fillId="2" borderId="61" xfId="2" applyNumberFormat="1" applyFont="1" applyFill="1" applyBorder="1" applyProtection="1"/>
    <xf numFmtId="167" fontId="6" fillId="2" borderId="55" xfId="0" applyNumberFormat="1" applyFont="1" applyFill="1" applyBorder="1" applyProtection="1"/>
    <xf numFmtId="0" fontId="6" fillId="4" borderId="10" xfId="0" applyFont="1" applyFill="1" applyBorder="1" applyAlignment="1" applyProtection="1">
      <alignment horizontal="center"/>
    </xf>
    <xf numFmtId="165" fontId="6" fillId="4" borderId="2" xfId="2" applyNumberFormat="1" applyFont="1" applyFill="1" applyBorder="1" applyProtection="1"/>
    <xf numFmtId="165" fontId="6" fillId="4" borderId="2" xfId="2" applyNumberFormat="1" applyFont="1" applyFill="1" applyBorder="1" applyAlignment="1" applyProtection="1">
      <alignment horizontal="center" vertical="center" wrapText="1"/>
    </xf>
    <xf numFmtId="9" fontId="6" fillId="4" borderId="40" xfId="3" applyFont="1" applyFill="1" applyBorder="1" applyAlignment="1" applyProtection="1">
      <alignment horizontal="center" vertical="center" wrapText="1"/>
    </xf>
    <xf numFmtId="0" fontId="6" fillId="4" borderId="37" xfId="0" applyFont="1" applyFill="1" applyBorder="1" applyAlignment="1" applyProtection="1">
      <alignment horizontal="center"/>
    </xf>
    <xf numFmtId="0" fontId="6" fillId="9" borderId="66" xfId="0" applyFont="1" applyFill="1" applyBorder="1" applyAlignment="1">
      <alignment horizontal="center"/>
    </xf>
    <xf numFmtId="165" fontId="6" fillId="9" borderId="67" xfId="2" applyNumberFormat="1" applyFont="1" applyFill="1" applyBorder="1" applyAlignment="1">
      <alignment horizontal="center" vertical="center" wrapText="1"/>
    </xf>
    <xf numFmtId="9" fontId="6" fillId="9" borderId="67" xfId="3" applyNumberFormat="1" applyFont="1" applyFill="1" applyBorder="1" applyAlignment="1">
      <alignment horizontal="center" vertical="center" wrapText="1"/>
    </xf>
    <xf numFmtId="165" fontId="6" fillId="2" borderId="56" xfId="2" applyNumberFormat="1" applyFont="1" applyFill="1" applyBorder="1" applyAlignment="1">
      <alignment horizontal="center"/>
    </xf>
    <xf numFmtId="165" fontId="6" fillId="2" borderId="67" xfId="2" applyNumberFormat="1" applyFont="1" applyFill="1" applyBorder="1" applyProtection="1"/>
    <xf numFmtId="167" fontId="6" fillId="2" borderId="63" xfId="0" applyNumberFormat="1" applyFont="1" applyFill="1" applyBorder="1" applyProtection="1"/>
    <xf numFmtId="165" fontId="6" fillId="2" borderId="67" xfId="2" applyNumberFormat="1" applyFont="1" applyFill="1" applyBorder="1" applyAlignment="1">
      <alignment horizontal="center"/>
    </xf>
    <xf numFmtId="0" fontId="6" fillId="10" borderId="68" xfId="0" applyFont="1" applyFill="1" applyBorder="1" applyAlignment="1">
      <alignment horizontal="center"/>
    </xf>
    <xf numFmtId="0" fontId="6" fillId="10" borderId="70" xfId="0" applyFont="1" applyFill="1" applyBorder="1"/>
    <xf numFmtId="165" fontId="6" fillId="10" borderId="60" xfId="0" applyNumberFormat="1" applyFont="1" applyFill="1" applyBorder="1" applyAlignment="1">
      <alignment horizontal="center" vertical="center" wrapText="1"/>
    </xf>
    <xf numFmtId="168" fontId="22" fillId="2" borderId="2" xfId="2" applyNumberFormat="1" applyFont="1" applyFill="1" applyBorder="1"/>
    <xf numFmtId="0" fontId="20" fillId="2" borderId="69" xfId="0" applyFont="1" applyFill="1" applyBorder="1" applyAlignment="1">
      <alignment vertical="center"/>
    </xf>
    <xf numFmtId="165" fontId="22" fillId="2" borderId="41" xfId="2" applyNumberFormat="1" applyFont="1" applyFill="1" applyBorder="1" applyAlignment="1"/>
    <xf numFmtId="165" fontId="22" fillId="2" borderId="42" xfId="2" applyNumberFormat="1" applyFont="1" applyFill="1" applyBorder="1" applyAlignment="1"/>
    <xf numFmtId="165" fontId="22" fillId="2" borderId="43" xfId="2" applyNumberFormat="1" applyFont="1" applyFill="1" applyBorder="1" applyAlignment="1"/>
    <xf numFmtId="165" fontId="20" fillId="2" borderId="32" xfId="2" applyNumberFormat="1" applyFont="1" applyFill="1" applyBorder="1" applyAlignment="1">
      <alignment horizontal="center"/>
    </xf>
    <xf numFmtId="0" fontId="6" fillId="9" borderId="61" xfId="0" applyFont="1" applyFill="1" applyBorder="1" applyAlignment="1">
      <alignment horizontal="center"/>
    </xf>
    <xf numFmtId="168" fontId="22" fillId="2" borderId="64" xfId="2" applyNumberFormat="1" applyFont="1" applyFill="1" applyBorder="1"/>
    <xf numFmtId="0" fontId="20" fillId="2" borderId="71" xfId="0" applyFont="1" applyFill="1" applyBorder="1" applyAlignment="1">
      <alignment vertical="center"/>
    </xf>
    <xf numFmtId="165" fontId="22" fillId="2" borderId="72" xfId="2" applyNumberFormat="1" applyFont="1" applyFill="1" applyBorder="1" applyAlignment="1"/>
    <xf numFmtId="165" fontId="22" fillId="2" borderId="62" xfId="2" applyNumberFormat="1" applyFont="1" applyFill="1" applyBorder="1" applyAlignment="1"/>
    <xf numFmtId="0" fontId="20" fillId="2" borderId="62" xfId="0" applyFont="1" applyFill="1" applyBorder="1" applyAlignment="1">
      <alignment vertical="center"/>
    </xf>
    <xf numFmtId="0" fontId="20" fillId="2" borderId="73" xfId="0" applyFont="1" applyFill="1" applyBorder="1" applyAlignment="1">
      <alignment vertical="center"/>
    </xf>
    <xf numFmtId="165" fontId="20" fillId="2" borderId="64" xfId="2" applyNumberFormat="1" applyFont="1" applyFill="1" applyBorder="1" applyAlignment="1">
      <alignment horizontal="center"/>
    </xf>
    <xf numFmtId="0" fontId="19" fillId="11" borderId="0" xfId="0" applyFont="1" applyFill="1"/>
    <xf numFmtId="0" fontId="6" fillId="2" borderId="0" xfId="0" applyFont="1" applyFill="1" applyAlignment="1" applyProtection="1"/>
    <xf numFmtId="0" fontId="19" fillId="2" borderId="0" xfId="0" pivotButton="1" applyFont="1" applyFill="1"/>
    <xf numFmtId="0" fontId="0" fillId="2" borderId="0" xfId="0" pivotButton="1" applyFill="1"/>
    <xf numFmtId="0" fontId="6" fillId="2" borderId="0" xfId="0" pivotButton="1" applyFont="1" applyFill="1"/>
    <xf numFmtId="0" fontId="6" fillId="11" borderId="0" xfId="0" applyFont="1" applyFill="1"/>
    <xf numFmtId="0" fontId="6" fillId="2" borderId="0" xfId="0" applyFont="1" applyFill="1" applyAlignment="1"/>
    <xf numFmtId="9" fontId="6" fillId="10" borderId="60" xfId="0" applyNumberFormat="1" applyFont="1" applyFill="1" applyBorder="1" applyAlignment="1">
      <alignment horizontal="center" vertical="center" wrapText="1"/>
    </xf>
    <xf numFmtId="9" fontId="9" fillId="5" borderId="34" xfId="3" applyFont="1" applyFill="1" applyBorder="1" applyAlignment="1" applyProtection="1">
      <alignment horizontal="center"/>
    </xf>
    <xf numFmtId="0" fontId="25" fillId="2" borderId="0" xfId="0" applyFont="1" applyFill="1" applyAlignment="1" applyProtection="1">
      <alignment vertical="center"/>
    </xf>
    <xf numFmtId="0" fontId="19" fillId="2" borderId="0" xfId="0" applyFont="1" applyFill="1" applyAlignment="1" applyProtection="1">
      <alignment vertical="center"/>
    </xf>
    <xf numFmtId="0" fontId="30" fillId="2" borderId="0"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xf>
    <xf numFmtId="0" fontId="19" fillId="2" borderId="0" xfId="0" applyFont="1" applyFill="1" applyAlignment="1" applyProtection="1"/>
    <xf numFmtId="0" fontId="31" fillId="2" borderId="0" xfId="0" applyFont="1" applyFill="1" applyBorder="1" applyAlignment="1" applyProtection="1"/>
    <xf numFmtId="0" fontId="32" fillId="2" borderId="0" xfId="0" applyFont="1" applyFill="1" applyBorder="1" applyAlignment="1" applyProtection="1"/>
    <xf numFmtId="0" fontId="31" fillId="2" borderId="0" xfId="0" applyFont="1" applyFill="1" applyBorder="1" applyAlignment="1" applyProtection="1">
      <alignment horizontal="left"/>
    </xf>
    <xf numFmtId="0" fontId="25" fillId="0" borderId="0" xfId="0" applyFont="1"/>
    <xf numFmtId="0" fontId="30" fillId="2" borderId="0" xfId="0" applyFont="1" applyFill="1"/>
    <xf numFmtId="0" fontId="19" fillId="2" borderId="0" xfId="0" applyFont="1" applyFill="1" applyAlignment="1">
      <alignment vertical="center"/>
    </xf>
    <xf numFmtId="165" fontId="19" fillId="2" borderId="0" xfId="0" applyNumberFormat="1" applyFont="1" applyFill="1"/>
    <xf numFmtId="0" fontId="25" fillId="3" borderId="4"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5" borderId="4" xfId="0" applyFont="1" applyFill="1" applyBorder="1" applyAlignment="1">
      <alignment horizontal="left"/>
    </xf>
    <xf numFmtId="165" fontId="25" fillId="5" borderId="12" xfId="2" applyNumberFormat="1" applyFont="1" applyFill="1" applyBorder="1" applyAlignment="1"/>
    <xf numFmtId="165" fontId="25" fillId="5" borderId="13" xfId="2" applyNumberFormat="1" applyFont="1" applyFill="1" applyBorder="1" applyAlignment="1"/>
    <xf numFmtId="165" fontId="25" fillId="5" borderId="14" xfId="2" applyNumberFormat="1" applyFont="1" applyFill="1" applyBorder="1" applyAlignment="1"/>
    <xf numFmtId="165" fontId="25" fillId="5" borderId="4" xfId="2" applyNumberFormat="1" applyFont="1" applyFill="1" applyBorder="1" applyAlignment="1"/>
    <xf numFmtId="0" fontId="19" fillId="5" borderId="7" xfId="0" applyFont="1" applyFill="1" applyBorder="1" applyAlignment="1">
      <alignment horizontal="right"/>
    </xf>
    <xf numFmtId="165" fontId="19" fillId="2" borderId="10" xfId="2" applyNumberFormat="1" applyFont="1" applyFill="1" applyBorder="1" applyAlignment="1"/>
    <xf numFmtId="165" fontId="19" fillId="5" borderId="7" xfId="2" applyNumberFormat="1" applyFont="1" applyFill="1" applyBorder="1" applyAlignment="1"/>
    <xf numFmtId="0" fontId="19" fillId="5" borderId="8" xfId="0" applyFont="1" applyFill="1" applyBorder="1" applyAlignment="1">
      <alignment horizontal="right"/>
    </xf>
    <xf numFmtId="165" fontId="19" fillId="2" borderId="11" xfId="2" applyNumberFormat="1" applyFont="1" applyFill="1" applyBorder="1" applyAlignment="1"/>
    <xf numFmtId="165" fontId="19" fillId="5" borderId="8" xfId="2" applyNumberFormat="1" applyFont="1" applyFill="1" applyBorder="1" applyAlignment="1"/>
    <xf numFmtId="0" fontId="25" fillId="2" borderId="0" xfId="0" applyFont="1" applyFill="1" applyAlignment="1">
      <alignment vertical="center"/>
    </xf>
    <xf numFmtId="165" fontId="25" fillId="5" borderId="22" xfId="2" applyNumberFormat="1" applyFont="1" applyFill="1" applyBorder="1" applyAlignment="1"/>
    <xf numFmtId="165" fontId="25" fillId="5" borderId="19" xfId="2" applyNumberFormat="1" applyFont="1" applyFill="1" applyBorder="1" applyAlignment="1"/>
    <xf numFmtId="165" fontId="25" fillId="5" borderId="23" xfId="2" applyNumberFormat="1" applyFont="1" applyFill="1" applyBorder="1" applyAlignment="1"/>
    <xf numFmtId="0" fontId="19" fillId="5" borderId="20" xfId="0" applyFont="1" applyFill="1" applyBorder="1" applyAlignment="1">
      <alignment horizontal="right"/>
    </xf>
    <xf numFmtId="165" fontId="19" fillId="2" borderId="24" xfId="2" applyNumberFormat="1" applyFont="1" applyFill="1" applyBorder="1" applyAlignment="1"/>
    <xf numFmtId="165" fontId="19" fillId="2" borderId="25" xfId="2" applyNumberFormat="1" applyFont="1" applyFill="1" applyBorder="1" applyAlignment="1"/>
    <xf numFmtId="165" fontId="19" fillId="5" borderId="26" xfId="2" applyNumberFormat="1" applyFont="1" applyFill="1" applyBorder="1" applyAlignment="1"/>
    <xf numFmtId="165" fontId="19" fillId="2" borderId="27" xfId="2" applyNumberFormat="1" applyFont="1" applyFill="1" applyBorder="1" applyAlignment="1"/>
    <xf numFmtId="165" fontId="19" fillId="5" borderId="28" xfId="2" applyNumberFormat="1" applyFont="1" applyFill="1" applyBorder="1" applyAlignment="1"/>
    <xf numFmtId="0" fontId="19" fillId="5" borderId="21" xfId="0" applyFont="1" applyFill="1" applyBorder="1" applyAlignment="1">
      <alignment horizontal="right"/>
    </xf>
    <xf numFmtId="165" fontId="19" fillId="2" borderId="29" xfId="2" applyNumberFormat="1" applyFont="1" applyFill="1" applyBorder="1" applyAlignment="1"/>
    <xf numFmtId="165" fontId="19" fillId="2" borderId="30" xfId="2" applyNumberFormat="1" applyFont="1" applyFill="1" applyBorder="1" applyAlignment="1"/>
    <xf numFmtId="165" fontId="19" fillId="5" borderId="31" xfId="2" applyNumberFormat="1" applyFont="1" applyFill="1" applyBorder="1" applyAlignment="1"/>
    <xf numFmtId="0" fontId="19" fillId="5" borderId="4" xfId="0" applyFont="1" applyFill="1" applyBorder="1" applyAlignment="1">
      <alignment horizontal="right"/>
    </xf>
    <xf numFmtId="165" fontId="19" fillId="2" borderId="12" xfId="2" applyNumberFormat="1" applyFont="1" applyFill="1" applyBorder="1" applyAlignment="1"/>
    <xf numFmtId="165" fontId="19" fillId="5" borderId="4" xfId="2" applyNumberFormat="1" applyFont="1" applyFill="1" applyBorder="1" applyAlignment="1"/>
    <xf numFmtId="0" fontId="19" fillId="5" borderId="17" xfId="0" applyFont="1" applyFill="1" applyBorder="1" applyAlignment="1">
      <alignment horizontal="right"/>
    </xf>
    <xf numFmtId="165" fontId="19" fillId="2" borderId="16" xfId="2" applyNumberFormat="1" applyFont="1" applyFill="1" applyBorder="1" applyAlignment="1"/>
    <xf numFmtId="165" fontId="19" fillId="2" borderId="15" xfId="2" applyNumberFormat="1" applyFont="1" applyFill="1" applyBorder="1" applyAlignment="1"/>
    <xf numFmtId="165" fontId="19" fillId="5" borderId="17" xfId="2" applyNumberFormat="1" applyFont="1" applyFill="1" applyBorder="1" applyAlignment="1"/>
    <xf numFmtId="0" fontId="25" fillId="5" borderId="17" xfId="0" applyFont="1" applyFill="1" applyBorder="1" applyAlignment="1">
      <alignment horizontal="left"/>
    </xf>
    <xf numFmtId="165" fontId="25" fillId="5" borderId="16" xfId="2" applyNumberFormat="1" applyFont="1" applyFill="1" applyBorder="1" applyAlignment="1"/>
    <xf numFmtId="165" fontId="25" fillId="5" borderId="15" xfId="2" applyNumberFormat="1" applyFont="1" applyFill="1" applyBorder="1" applyAlignment="1"/>
    <xf numFmtId="165" fontId="25" fillId="5" borderId="18" xfId="2" applyNumberFormat="1" applyFont="1" applyFill="1" applyBorder="1" applyAlignment="1"/>
    <xf numFmtId="165" fontId="25" fillId="5" borderId="17" xfId="2" applyNumberFormat="1" applyFont="1" applyFill="1" applyBorder="1" applyAlignment="1"/>
    <xf numFmtId="0" fontId="25" fillId="2" borderId="3" xfId="0" applyFont="1" applyFill="1" applyBorder="1" applyAlignment="1">
      <alignment horizontal="center" vertical="center" wrapText="1"/>
    </xf>
    <xf numFmtId="0" fontId="25" fillId="2" borderId="76" xfId="0" applyFont="1" applyFill="1" applyBorder="1" applyAlignment="1">
      <alignment horizontal="left" vertical="center" wrapText="1"/>
    </xf>
    <xf numFmtId="0" fontId="25" fillId="2" borderId="76" xfId="0" applyFont="1" applyFill="1" applyBorder="1" applyAlignment="1">
      <alignment horizontal="left" vertical="center"/>
    </xf>
    <xf numFmtId="0" fontId="25" fillId="2" borderId="75" xfId="0" applyFont="1" applyFill="1" applyBorder="1" applyAlignment="1">
      <alignment horizontal="right" vertical="center" wrapText="1"/>
    </xf>
    <xf numFmtId="165" fontId="19" fillId="2" borderId="74" xfId="2" applyNumberFormat="1" applyFont="1" applyFill="1" applyBorder="1" applyAlignment="1">
      <alignment horizontal="left"/>
    </xf>
    <xf numFmtId="0" fontId="19" fillId="2" borderId="0" xfId="0" applyFont="1" applyFill="1" applyAlignment="1"/>
    <xf numFmtId="0" fontId="19" fillId="2" borderId="74" xfId="0" applyFont="1" applyFill="1" applyBorder="1"/>
    <xf numFmtId="0" fontId="12" fillId="2" borderId="0" xfId="0" pivotButton="1" applyFont="1" applyFill="1"/>
    <xf numFmtId="0" fontId="5" fillId="2" borderId="0" xfId="0" pivotButton="1" applyFont="1" applyFill="1" applyAlignment="1" applyProtection="1">
      <alignment vertical="center"/>
    </xf>
    <xf numFmtId="0" fontId="12" fillId="2" borderId="0" xfId="0" pivotButton="1" applyFont="1" applyFill="1" applyAlignment="1">
      <alignment vertical="center"/>
    </xf>
    <xf numFmtId="0" fontId="33" fillId="2" borderId="0" xfId="0" applyFont="1" applyFill="1" applyAlignment="1" applyProtection="1">
      <alignment vertical="center"/>
    </xf>
    <xf numFmtId="0" fontId="19" fillId="2" borderId="75" xfId="0" applyFont="1" applyFill="1" applyBorder="1" applyAlignment="1">
      <alignment horizontal="left" vertical="center"/>
    </xf>
    <xf numFmtId="165" fontId="19" fillId="2" borderId="74" xfId="0" applyNumberFormat="1" applyFont="1" applyFill="1" applyBorder="1"/>
    <xf numFmtId="0" fontId="25" fillId="2" borderId="74" xfId="0" applyFont="1" applyFill="1" applyBorder="1" applyAlignment="1">
      <alignment horizontal="left" vertical="center" wrapText="1"/>
    </xf>
    <xf numFmtId="0" fontId="25" fillId="2" borderId="74" xfId="0" applyFont="1" applyFill="1" applyBorder="1"/>
    <xf numFmtId="0" fontId="34" fillId="2" borderId="0" xfId="0" applyFont="1" applyFill="1" applyAlignment="1" applyProtection="1">
      <alignment vertical="center"/>
    </xf>
    <xf numFmtId="0" fontId="36" fillId="2" borderId="77" xfId="5" applyFill="1" applyAlignment="1" applyProtection="1">
      <alignment vertical="center"/>
    </xf>
    <xf numFmtId="0" fontId="37" fillId="2" borderId="77" xfId="4" applyFont="1" applyFill="1" applyBorder="1" applyAlignment="1" applyProtection="1">
      <alignment vertical="center"/>
    </xf>
    <xf numFmtId="0" fontId="38" fillId="2" borderId="77" xfId="5" applyFont="1" applyFill="1" applyAlignment="1">
      <alignment vertical="center"/>
    </xf>
    <xf numFmtId="0" fontId="25" fillId="2" borderId="0" xfId="0" applyFont="1" applyFill="1" applyAlignment="1">
      <alignment horizontal="right"/>
    </xf>
    <xf numFmtId="0" fontId="25" fillId="2" borderId="0" xfId="0" pivotButton="1" applyFont="1" applyFill="1" applyAlignment="1">
      <alignment horizontal="right"/>
    </xf>
    <xf numFmtId="0" fontId="10" fillId="6" borderId="0" xfId="0" applyFont="1" applyFill="1" applyAlignment="1" applyProtection="1">
      <alignment vertical="center"/>
    </xf>
    <xf numFmtId="0" fontId="6" fillId="6" borderId="0" xfId="0" applyFont="1" applyFill="1" applyAlignment="1" applyProtection="1">
      <alignment vertical="center"/>
    </xf>
    <xf numFmtId="0" fontId="6" fillId="6" borderId="0" xfId="0" applyFont="1" applyFill="1"/>
    <xf numFmtId="0" fontId="6" fillId="6" borderId="0" xfId="0" applyFont="1" applyFill="1" applyAlignment="1" applyProtection="1"/>
    <xf numFmtId="0" fontId="6" fillId="6" borderId="0" xfId="0" applyFont="1" applyFill="1" applyAlignment="1"/>
    <xf numFmtId="0" fontId="36" fillId="2" borderId="77" xfId="5" applyFill="1"/>
    <xf numFmtId="0" fontId="0" fillId="2" borderId="0" xfId="0" applyFill="1" applyAlignment="1">
      <alignment horizontal="left" vertical="top"/>
    </xf>
    <xf numFmtId="0" fontId="39" fillId="2" borderId="77" xfId="4" applyFont="1" applyFill="1" applyBorder="1" applyAlignment="1" applyProtection="1">
      <alignment vertical="center"/>
    </xf>
    <xf numFmtId="0" fontId="25" fillId="2" borderId="0" xfId="0" applyFont="1" applyFill="1" applyBorder="1" applyAlignment="1">
      <alignment horizontal="left" vertical="center" wrapText="1"/>
    </xf>
    <xf numFmtId="165" fontId="19" fillId="2" borderId="0" xfId="2" applyNumberFormat="1" applyFont="1" applyFill="1" applyBorder="1" applyAlignment="1">
      <alignment horizontal="left"/>
    </xf>
    <xf numFmtId="0" fontId="34" fillId="12" borderId="0" xfId="0" applyFont="1" applyFill="1" applyAlignment="1">
      <alignment horizontal="left" vertical="center"/>
    </xf>
    <xf numFmtId="0" fontId="40" fillId="12" borderId="0" xfId="0" applyFont="1" applyFill="1" applyAlignment="1">
      <alignment horizontal="left" vertical="center"/>
    </xf>
    <xf numFmtId="165" fontId="41" fillId="2" borderId="1" xfId="2" applyNumberFormat="1" applyFont="1" applyFill="1" applyBorder="1"/>
    <xf numFmtId="168" fontId="41" fillId="2" borderId="1" xfId="2" applyNumberFormat="1" applyFont="1" applyFill="1" applyBorder="1"/>
    <xf numFmtId="165" fontId="41" fillId="2" borderId="39" xfId="2" applyNumberFormat="1" applyFont="1" applyFill="1" applyBorder="1"/>
    <xf numFmtId="0" fontId="12" fillId="0" borderId="0" xfId="0" pivotButton="1" applyFont="1"/>
    <xf numFmtId="0" fontId="12" fillId="0" borderId="0" xfId="0" applyFont="1" applyAlignment="1">
      <alignment horizontal="left"/>
    </xf>
    <xf numFmtId="165" fontId="12" fillId="0" borderId="0" xfId="0" applyNumberFormat="1" applyFont="1"/>
    <xf numFmtId="0" fontId="25" fillId="2" borderId="75" xfId="0" pivotButton="1" applyFont="1" applyFill="1" applyBorder="1" applyAlignment="1">
      <alignment horizontal="right" vertical="center" wrapText="1"/>
    </xf>
    <xf numFmtId="165" fontId="19" fillId="2" borderId="74" xfId="2" pivotButton="1" applyNumberFormat="1" applyFont="1" applyFill="1" applyBorder="1" applyAlignment="1">
      <alignment horizontal="left"/>
    </xf>
    <xf numFmtId="0" fontId="6" fillId="6" borderId="0" xfId="0" pivotButton="1" applyFont="1" applyFill="1"/>
    <xf numFmtId="0" fontId="25" fillId="2" borderId="0" xfId="0" pivotButton="1" applyFont="1" applyFill="1"/>
    <xf numFmtId="165" fontId="19" fillId="8" borderId="74" xfId="0" applyNumberFormat="1" applyFont="1" applyFill="1" applyBorder="1"/>
    <xf numFmtId="0" fontId="25" fillId="8" borderId="0" xfId="0" applyFont="1" applyFill="1" applyAlignment="1">
      <alignment horizontal="right"/>
    </xf>
    <xf numFmtId="0" fontId="0" fillId="11" borderId="0" xfId="0" applyFill="1"/>
    <xf numFmtId="9" fontId="12" fillId="0" borderId="0" xfId="0" applyNumberFormat="1" applyFont="1"/>
    <xf numFmtId="164" fontId="22" fillId="2" borderId="55" xfId="2" applyNumberFormat="1" applyFont="1" applyFill="1" applyBorder="1"/>
    <xf numFmtId="165" fontId="20" fillId="2" borderId="32" xfId="2" applyNumberFormat="1" applyFont="1" applyFill="1" applyBorder="1" applyAlignment="1">
      <alignment horizontal="left"/>
    </xf>
    <xf numFmtId="0" fontId="6" fillId="0" borderId="35" xfId="0" applyFont="1" applyBorder="1" applyAlignment="1" applyProtection="1">
      <alignment horizontal="center"/>
      <protection locked="0"/>
    </xf>
    <xf numFmtId="0" fontId="6" fillId="0" borderId="36" xfId="0" applyFont="1" applyBorder="1" applyAlignment="1" applyProtection="1">
      <alignment horizontal="center"/>
      <protection locked="0"/>
    </xf>
    <xf numFmtId="0" fontId="6" fillId="0" borderId="37" xfId="0" applyFont="1" applyBorder="1" applyAlignment="1" applyProtection="1">
      <alignment horizontal="center"/>
      <protection locked="0"/>
    </xf>
    <xf numFmtId="0" fontId="16" fillId="4" borderId="0" xfId="0" applyFont="1" applyFill="1" applyAlignment="1" applyProtection="1">
      <alignment horizontal="left" vertical="center"/>
    </xf>
    <xf numFmtId="0" fontId="16" fillId="9" borderId="0" xfId="0" applyFont="1" applyFill="1" applyAlignment="1" applyProtection="1">
      <alignment horizontal="left" vertical="center"/>
    </xf>
  </cellXfs>
  <cellStyles count="6">
    <cellStyle name="Comma" xfId="2" builtinId="3"/>
    <cellStyle name="Heading 1" xfId="5" builtinId="16"/>
    <cellStyle name="Normal" xfId="0" builtinId="0" customBuiltin="1"/>
    <cellStyle name="Normal 2" xfId="1" xr:uid="{6B2130CC-ED55-49F4-B760-9A5152655C3C}"/>
    <cellStyle name="Percent" xfId="3" builtinId="5"/>
    <cellStyle name="Title" xfId="4" builtinId="15"/>
  </cellStyles>
  <dxfs count="326">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style="thin">
          <color theme="5" tint="0.59999389629810485"/>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border outline="0">
        <right style="thin">
          <color theme="5" tint="0.59999389629810485"/>
        </right>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alignment horizontal="center" vertical="bottom" textRotation="0" wrapText="0" indent="0" justifyLastLine="0" shrinkToFit="0" readingOrder="0"/>
      <border diagonalUp="0" diagonalDown="0" outline="0">
        <left/>
        <right style="thin">
          <color theme="5" tint="0.59999389629810485"/>
        </right>
        <top/>
        <bottom/>
      </border>
    </dxf>
    <dxf>
      <fill>
        <patternFill>
          <fgColor indexed="64"/>
          <bgColor theme="5" tint="0.59999389629810485"/>
        </patternFill>
      </fill>
    </dxf>
    <dxf>
      <border outline="0">
        <left style="thin">
          <color theme="5" tint="0.59999389629810485"/>
        </left>
        <right style="thin">
          <color theme="5" tint="0.59999389629810485"/>
        </right>
        <top style="thin">
          <color theme="5" tint="0.59999389629810485"/>
        </top>
        <bottom style="thin">
          <color theme="5" tint="0.59999389629810485"/>
        </bottom>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79998168889431442"/>
        </patternFill>
      </fill>
      <alignment horizontal="left" vertical="bottom" textRotation="0" wrapText="0" indent="0" justifyLastLine="0" shrinkToFit="0" readingOrder="0"/>
      <border diagonalUp="0" diagonalDown="0" outline="0">
        <left style="thin">
          <color theme="5" tint="0.59999389629810485"/>
        </left>
        <right style="thin">
          <color theme="5" tint="0.59999389629810485"/>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7" formatCode="0;\-0;;@"/>
      <fill>
        <patternFill patternType="solid">
          <fgColor indexed="64"/>
          <bgColor theme="0"/>
        </patternFill>
      </fill>
      <border diagonalUp="0" diagonalDown="0" outline="0">
        <left style="thin">
          <color theme="4"/>
        </left>
        <right style="thin">
          <color theme="4"/>
        </right>
        <top style="thin">
          <color theme="4"/>
        </top>
        <bottom style="thin">
          <color theme="4"/>
        </bottom>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left" vertical="bottom" textRotation="0" wrapText="0" indent="0" justifyLastLine="0" shrinkToFit="0" readingOrder="0"/>
      <border diagonalUp="0" diagonalDown="0" outline="0">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border outline="0">
        <top style="double">
          <color theme="4"/>
        </top>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style="thin">
          <color theme="8" tint="-9.9978637043366805E-2"/>
        </right>
        <top/>
        <bottom/>
      </border>
      <protection locked="1" hidden="0"/>
    </dxf>
    <dxf>
      <border diagonalUp="0" diagonalDown="0">
        <left style="thin">
          <color theme="4"/>
        </left>
        <right style="thin">
          <color theme="4"/>
        </right>
        <top style="thin">
          <color theme="4"/>
        </top>
        <bottom style="thin">
          <color theme="4"/>
        </bottom>
      </border>
    </dxf>
    <dxf>
      <font>
        <strike val="0"/>
        <outline val="0"/>
        <shadow val="0"/>
        <u val="none"/>
        <vertAlign val="baseline"/>
        <color auto="1"/>
        <name val="Arial"/>
        <family val="2"/>
      </font>
      <numFmt numFmtId="169" formatCode="_-* #.##0\ _k_r_-;\-* #.##0\ _k_r_-;_-* &quot;-&quot;??\ _k_r_-;_-@_-"/>
      <fill>
        <patternFill patternType="solid">
          <fgColor indexed="64"/>
          <bgColor theme="4" tint="0.79998168889431442"/>
        </patternFill>
      </fill>
      <protection locked="1" hidden="0"/>
    </dxf>
    <dxf>
      <border>
        <bottom style="thin">
          <color theme="4"/>
        </bottom>
      </border>
    </dxf>
    <dxf>
      <font>
        <b val="0"/>
        <i val="0"/>
        <strike val="0"/>
        <condense val="0"/>
        <extend val="0"/>
        <outline val="0"/>
        <shadow val="0"/>
        <u val="none"/>
        <vertAlign val="baseline"/>
        <sz val="10"/>
        <color auto="1"/>
        <name val="Arial"/>
        <family val="2"/>
        <scheme val="minor"/>
      </font>
      <fill>
        <patternFill patternType="solid">
          <fgColor indexed="64"/>
          <bgColor theme="4" tint="0.79998168889431442"/>
        </patternFill>
      </fill>
      <alignment horizontal="left" vertical="bottom" textRotation="0" wrapText="0" indent="0" justifyLastLine="0" shrinkToFit="0" readingOrder="0"/>
      <border diagonalUp="0" diagonalDown="0" outline="0">
        <left style="thin">
          <color theme="4"/>
        </left>
        <right style="thin">
          <color theme="4"/>
        </right>
        <top/>
        <bottom/>
      </border>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sz val="16"/>
        <name val="Arial"/>
        <family val="2"/>
        <scheme val="minor"/>
      </font>
    </dxf>
    <dxf>
      <font>
        <sz val="16"/>
        <name val="Arial"/>
        <family val="2"/>
        <scheme val="minor"/>
      </font>
    </dxf>
    <dxf>
      <font>
        <b/>
        <color theme="1"/>
      </font>
      <border>
        <bottom style="thin">
          <color theme="4"/>
        </bottom>
        <vertical/>
        <horizontal/>
      </border>
    </dxf>
    <dxf>
      <font>
        <sz val="16"/>
        <color theme="1"/>
        <name val="Arial"/>
        <family val="2"/>
        <scheme val="minor"/>
      </font>
      <border diagonalUp="0" diagonalDown="0">
        <left/>
        <right/>
        <top/>
        <bottom/>
        <vertical/>
        <horizontal/>
      </border>
    </dxf>
    <dxf>
      <font>
        <b/>
        <color theme="1"/>
      </font>
      <border>
        <bottom style="thin">
          <color theme="5"/>
        </bottom>
        <vertical/>
        <horizontal/>
      </border>
    </dxf>
    <dxf>
      <font>
        <sz val="16"/>
        <color theme="1"/>
        <name val="Arial"/>
        <family val="2"/>
        <scheme val="minor"/>
      </font>
      <border diagonalUp="1" diagonalDown="0">
        <left/>
        <right/>
        <top/>
        <bottom/>
        <diagonal style="thin">
          <color auto="1"/>
        </diagonal>
        <vertical/>
        <horizontal/>
      </border>
    </dxf>
  </dxfs>
  <tableStyles count="4" defaultTableStyle="TableStyleMedium2" defaultPivotStyle="PivotStyleLight16">
    <tableStyle name="SlicerKostnad" pivot="0" table="0" count="10" xr9:uid="{895DF140-03B8-4AC7-B9F6-D8FA9AB8F24E}">
      <tableStyleElement type="wholeTable" dxfId="325"/>
      <tableStyleElement type="headerRow" dxfId="324"/>
    </tableStyle>
    <tableStyle name="SlicerNytta" pivot="0" table="0" count="10" xr9:uid="{B89BA1B0-62A9-42ED-94A1-3A53731B4F22}">
      <tableStyleElement type="wholeTable" dxfId="323"/>
      <tableStyleElement type="headerRow" dxfId="322"/>
    </tableStyle>
    <tableStyle name="Utsnittsformat 1" pivot="0" table="0" count="1" xr9:uid="{F62C0325-60DB-47D2-A283-4E2B844B6A0A}">
      <tableStyleElement type="wholeTable" dxfId="321"/>
    </tableStyle>
    <tableStyle name="Utsnittsformat 2" pivot="0" table="0" count="1" xr9:uid="{F403AB4B-7344-4555-A590-6A2E1A817915}">
      <tableStyleElement type="wholeTable" dxfId="320"/>
    </tableStyle>
  </tableStyles>
  <colors>
    <mruColors>
      <color rgb="FF000000"/>
      <color rgb="FFBEA3D5"/>
      <color rgb="FFABE68E"/>
      <color rgb="FFC5F1C5"/>
      <color rgb="FFCCCCFF"/>
      <color rgb="FFDEC6E4"/>
      <color rgb="FFE4A8D3"/>
      <color rgb="FFD6EDBD"/>
      <color rgb="FF00642D"/>
      <color rgb="FFD6EDE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pivotCacheDefinition" Target="pivotCache/pivotCacheDefinition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microsoft.com/office/2007/relationships/slicerCache" Target="slicerCaches/slicerCach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0" Type="http://schemas.openxmlformats.org/officeDocument/2006/relationships/pivotCacheDefinition" Target="pivotCache/pivotCacheDefinition1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connections" Target="connections.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1.xml"/><Relationship Id="rId8"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0</c:v>
                </c:pt>
              </c:numCache>
            </c:numRef>
          </c:val>
          <c:extLst>
            <c:ext xmlns:c16="http://schemas.microsoft.com/office/drawing/2014/chart" uri="{C3380CC4-5D6E-409C-BE32-E72D297353CC}">
              <c16:uniqueId val="{00000001-84A9-40C9-8AB8-E646026D6B84}"/>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44848614.513477355</c:v>
                </c:pt>
              </c:numCache>
            </c:numRef>
          </c:val>
          <c:extLst>
            <c:ext xmlns:c16="http://schemas.microsoft.com/office/drawing/2014/chart" uri="{C3380CC4-5D6E-409C-BE32-E72D297353CC}">
              <c16:uniqueId val="{00000003-84A9-40C9-8AB8-E646026D6B84}"/>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4335494.1179978047</c:v>
                </c:pt>
              </c:numCache>
            </c:numRef>
          </c:val>
          <c:extLst>
            <c:ext xmlns:c16="http://schemas.microsoft.com/office/drawing/2014/chart" uri="{C3380CC4-5D6E-409C-BE32-E72D297353CC}">
              <c16:uniqueId val="{00000005-84A9-40C9-8AB8-E646026D6B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6-84A9-40C9-8AB8-E646026D6B84}"/>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44848614.513477355</c:v>
                </c:pt>
              </c:numCache>
            </c:numRef>
          </c:val>
          <c:extLst>
            <c:ext xmlns:c16="http://schemas.microsoft.com/office/drawing/2014/chart" uri="{C3380CC4-5D6E-409C-BE32-E72D297353CC}">
              <c16:uniqueId val="{00000007-84A9-40C9-8AB8-E646026D6B84}"/>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4335494.1179978047</c:v>
                </c:pt>
              </c:numCache>
            </c:numRef>
          </c:val>
          <c:extLst>
            <c:ext xmlns:c16="http://schemas.microsoft.com/office/drawing/2014/chart" uri="{C3380CC4-5D6E-409C-BE32-E72D297353CC}">
              <c16:uniqueId val="{00000001-A22B-49FE-BDA2-E9EE45FBE66B}"/>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44848614.513477355</c:v>
                </c:pt>
              </c:numCache>
            </c:numRef>
          </c:val>
          <c:extLst>
            <c:ext xmlns:c16="http://schemas.microsoft.com/office/drawing/2014/chart" uri="{C3380CC4-5D6E-409C-BE32-E72D297353CC}">
              <c16:uniqueId val="{00000003-A22B-49FE-BDA2-E9EE45FBE66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0</c:v>
                </c:pt>
                <c:pt idx="1">
                  <c:v>9507669.9029126205</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0-B015-4D15-929F-7459CADFA97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-1960000</c:v>
                </c:pt>
                <c:pt idx="1">
                  <c:v>-503592.2330097087</c:v>
                </c:pt>
                <c:pt idx="2">
                  <c:v>-488924.49806767842</c:v>
                </c:pt>
                <c:pt idx="3">
                  <c:v>-474683.97870648385</c:v>
                </c:pt>
                <c:pt idx="4">
                  <c:v>-460858.23175386788</c:v>
                </c:pt>
                <c:pt idx="5">
                  <c:v>-447435.17646006594</c:v>
                </c:pt>
              </c:numCache>
            </c:numRef>
          </c:val>
          <c:extLst>
            <c:ext xmlns:c16="http://schemas.microsoft.com/office/drawing/2014/chart" uri="{C3380CC4-5D6E-409C-BE32-E72D297353CC}">
              <c16:uniqueId val="{00000001-B015-4D15-929F-7459CADFA97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Admin!$L$39:$Q$39</c:f>
              <c:numCache>
                <c:formatCode>_-* #\ ##0\ _k_r_-;\-* #\ ##0\ _k_r_-;_-* "-"??\ _k_r_-;_-@_-</c:formatCode>
                <c:ptCount val="6"/>
                <c:pt idx="0">
                  <c:v>-1960000</c:v>
                </c:pt>
                <c:pt idx="1">
                  <c:v>7044077.6699029114</c:v>
                </c:pt>
                <c:pt idx="2">
                  <c:v>15785900.650391176</c:v>
                </c:pt>
                <c:pt idx="3">
                  <c:v>24273107.427564248</c:v>
                </c:pt>
                <c:pt idx="4">
                  <c:v>32513114.007343929</c:v>
                </c:pt>
                <c:pt idx="5">
                  <c:v>40513120.395479545</c:v>
                </c:pt>
              </c:numCache>
            </c:numRef>
          </c:val>
          <c:smooth val="0"/>
          <c:extLst>
            <c:ext xmlns:c16="http://schemas.microsoft.com/office/drawing/2014/chart" uri="{C3380CC4-5D6E-409C-BE32-E72D297353CC}">
              <c16:uniqueId val="{00000002-B015-4D15-929F-7459CADFA97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0"/>
          <c:y val="0.76597705808111183"/>
          <c:w val="1"/>
          <c:h val="0.185795185675339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8969722.9026954696</c:v>
                </c:pt>
                <c:pt idx="1">
                  <c:v>44848614.513477355</c:v>
                </c:pt>
                <c:pt idx="2">
                  <c:v>44848614.513477355</c:v>
                </c:pt>
              </c:numCache>
            </c:numRef>
          </c:val>
          <c:extLst>
            <c:ext xmlns:c16="http://schemas.microsoft.com/office/drawing/2014/chart" uri="{C3380CC4-5D6E-409C-BE32-E72D297353CC}">
              <c16:uniqueId val="{00000003-1392-4033-81D9-10557287EEE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3467456.4177369527</c:v>
                </c:pt>
                <c:pt idx="4">
                  <c:v>4335494.1179978047</c:v>
                </c:pt>
                <c:pt idx="5">
                  <c:v>3534228.5485262489</c:v>
                </c:pt>
              </c:numCache>
            </c:numRef>
          </c:val>
          <c:extLst>
            <c:ext xmlns:c16="http://schemas.microsoft.com/office/drawing/2014/chart" uri="{C3380CC4-5D6E-409C-BE32-E72D297353CC}">
              <c16:uniqueId val="{00000007-1392-4033-81D9-10557287EEE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8969722.9026954696</c:v>
                </c:pt>
                <c:pt idx="1">
                  <c:v>3467456.4177369527</c:v>
                </c:pt>
                <c:pt idx="2">
                  <c:v>5435494.3541692207</c:v>
                </c:pt>
              </c:numCache>
            </c:numRef>
          </c:val>
          <c:smooth val="0"/>
          <c:extLst>
            <c:ext xmlns:c16="http://schemas.microsoft.com/office/drawing/2014/chart" uri="{C3380CC4-5D6E-409C-BE32-E72D297353CC}">
              <c16:uniqueId val="{00000000-2C29-4CD7-A0BD-DE13F004FA7D}"/>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44848614.513477355</c:v>
                </c:pt>
                <c:pt idx="1">
                  <c:v>4335494.1179978047</c:v>
                </c:pt>
                <c:pt idx="2">
                  <c:v>40513120.395479552</c:v>
                </c:pt>
              </c:numCache>
            </c:numRef>
          </c:val>
          <c:smooth val="0"/>
          <c:extLst>
            <c:ext xmlns:c16="http://schemas.microsoft.com/office/drawing/2014/chart" uri="{C3380CC4-5D6E-409C-BE32-E72D297353CC}">
              <c16:uniqueId val="{00000001-2C29-4CD7-A0BD-DE13F004FA7D}"/>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44848614.513477355</c:v>
                </c:pt>
                <c:pt idx="1">
                  <c:v>3534228.5485262489</c:v>
                </c:pt>
                <c:pt idx="2">
                  <c:v>41381158.0957404</c:v>
                </c:pt>
              </c:numCache>
            </c:numRef>
          </c:val>
          <c:smooth val="0"/>
          <c:extLst>
            <c:ext xmlns:c16="http://schemas.microsoft.com/office/drawing/2014/chart" uri="{C3380CC4-5D6E-409C-BE32-E72D297353CC}">
              <c16:uniqueId val="{00000002-2C29-4CD7-A0BD-DE13F004FA7D}"/>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1177_0.2.xlsx]Admin!Pivottabell19</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pivotFmt>
    </c:pivotFmts>
    <c:plotArea>
      <c:layout>
        <c:manualLayout>
          <c:layoutTarget val="inner"/>
          <c:xMode val="edge"/>
          <c:yMode val="edge"/>
          <c:x val="6.9511388888888886E-2"/>
          <c:y val="0.11784194444444444"/>
          <c:w val="0.87156055555555545"/>
          <c:h val="0.87156055555555545"/>
        </c:manualLayout>
      </c:layout>
      <c:pieChart>
        <c:varyColors val="1"/>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[Nyttokalkyl_e-id 1177_0.2.xlsx]Admin!Pivottabell17</c:name>
    <c:fmtId val="5"/>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hade val="76000"/>
            </a:schemeClr>
          </a:solidFill>
          <a:ln w="19050">
            <a:solidFill>
              <a:srgbClr val="000000"/>
            </a:solidFill>
          </a:ln>
          <a:effectLst/>
        </c:spPr>
      </c:pivotFmt>
      <c:pivotFmt>
        <c:idx val="3"/>
        <c:spPr>
          <a:solidFill>
            <a:schemeClr val="accent2">
              <a:tint val="77000"/>
            </a:schemeClr>
          </a:solidFill>
          <a:ln w="19050">
            <a:solidFill>
              <a:srgbClr val="000000"/>
            </a:solidFill>
          </a:ln>
          <a:effectLst/>
        </c:spPr>
      </c:pivotFmt>
      <c:pivotFmt>
        <c:idx val="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2">
              <a:shade val="76000"/>
            </a:schemeClr>
          </a:solidFill>
          <a:ln w="19050">
            <a:solidFill>
              <a:srgbClr val="000000"/>
            </a:solidFill>
          </a:ln>
          <a:effectLst/>
        </c:spPr>
      </c:pivotFmt>
      <c:pivotFmt>
        <c:idx val="6"/>
        <c:spPr>
          <a:solidFill>
            <a:schemeClr val="accent2">
              <a:tint val="77000"/>
            </a:schemeClr>
          </a:solidFill>
          <a:ln w="19050">
            <a:solidFill>
              <a:srgbClr val="000000"/>
            </a:solidFill>
          </a:ln>
          <a:effectLst/>
        </c:spPr>
      </c:pivotFmt>
      <c:pivotFmt>
        <c:idx val="7"/>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23B9-4FAF-9169-C742D4E17DA3}"/>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Regioner</c:v>
                </c:pt>
              </c:strCache>
            </c:strRef>
          </c:cat>
          <c:val>
            <c:numRef>
              <c:f>Admin!$L$192</c:f>
              <c:numCache>
                <c:formatCode>_-* #\ ##0\ _k_r_-;\-* #\ ##0\ _k_r_-;_-* "-"??\ _k_r_-;_-@_-</c:formatCode>
                <c:ptCount val="1"/>
                <c:pt idx="0">
                  <c:v>4335494.1179978047</c:v>
                </c:pt>
              </c:numCache>
            </c:numRef>
          </c:val>
          <c:extLst>
            <c:ext xmlns:c16="http://schemas.microsoft.com/office/drawing/2014/chart" uri="{C3380CC4-5D6E-409C-BE32-E72D297353CC}">
              <c16:uniqueId val="{00000000-1031-4251-8925-BA0FE2860DE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1177_0.2.xlsx]Admin!Pivottabell16</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rgbClr val="000000"/>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hade val="76000"/>
            </a:schemeClr>
          </a:solidFill>
          <a:ln w="19050">
            <a:solidFill>
              <a:srgbClr val="000000"/>
            </a:solidFill>
          </a:ln>
          <a:effectLst/>
        </c:spPr>
      </c:pivotFmt>
      <c:pivotFmt>
        <c:idx val="3"/>
        <c:spPr>
          <a:solidFill>
            <a:schemeClr val="accent1">
              <a:tint val="77000"/>
            </a:schemeClr>
          </a:solidFill>
          <a:ln w="19050">
            <a:solidFill>
              <a:srgbClr val="000000"/>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hade val="76000"/>
            </a:schemeClr>
          </a:solidFill>
          <a:ln w="19050">
            <a:solidFill>
              <a:srgbClr val="000000"/>
            </a:solidFill>
          </a:ln>
          <a:effectLst/>
        </c:spPr>
      </c:pivotFmt>
      <c:pivotFmt>
        <c:idx val="6"/>
        <c:spPr>
          <a:solidFill>
            <a:schemeClr val="accent1">
              <a:tint val="77000"/>
            </a:schemeClr>
          </a:solidFill>
          <a:ln w="19050">
            <a:solidFill>
              <a:srgbClr val="000000"/>
            </a:solidFill>
          </a:ln>
          <a:effectLst/>
        </c:spPr>
      </c:pivotFmt>
      <c:pivotFmt>
        <c:idx val="7"/>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F82-4B0D-A7F4-5820DFC297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c:f>
              <c:strCache>
                <c:ptCount val="1"/>
                <c:pt idx="0">
                  <c:v>Regioner</c:v>
                </c:pt>
              </c:strCache>
            </c:strRef>
          </c:cat>
          <c:val>
            <c:numRef>
              <c:f>Admin!$L$176</c:f>
              <c:numCache>
                <c:formatCode>_-* #\ ##0\ _k_r_-;\-* #\ ##0\ _k_r_-;_-* "-"??\ _k_r_-;_-@_-</c:formatCode>
                <c:ptCount val="1"/>
                <c:pt idx="0">
                  <c:v>44848614.513477355</c:v>
                </c:pt>
              </c:numCache>
            </c:numRef>
          </c:val>
          <c:extLst>
            <c:ext xmlns:c16="http://schemas.microsoft.com/office/drawing/2014/chart" uri="{C3380CC4-5D6E-409C-BE32-E72D297353CC}">
              <c16:uniqueId val="{00000000-74A6-4908-B9E0-A9BCFFB208D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1177_0.2.xlsx]Admin!Pivottabell20</c:name>
    <c:fmtId val="15"/>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0B9-4016-A970-7FD18C7D4A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c:f>
              <c:strCache>
                <c:ptCount val="1"/>
                <c:pt idx="0">
                  <c:v>Regioner</c:v>
                </c:pt>
              </c:strCache>
            </c:strRef>
          </c:cat>
          <c:val>
            <c:numRef>
              <c:f>Admin!$AT$172</c:f>
              <c:numCache>
                <c:formatCode>_-* #\ ##0\ _k_r_-;\-* #\ ##0\ _k_r_-;_-* "-"??\ _k_r_-;_-@_-</c:formatCode>
                <c:ptCount val="1"/>
                <c:pt idx="0">
                  <c:v>44848614.513477355</c:v>
                </c:pt>
              </c:numCache>
            </c:numRef>
          </c:val>
          <c:extLst>
            <c:ext xmlns:c16="http://schemas.microsoft.com/office/drawing/2014/chart" uri="{C3380CC4-5D6E-409C-BE32-E72D297353CC}">
              <c16:uniqueId val="{00000000-50E0-4341-BE81-C870568F6DD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(år</a:t>
            </a:r>
            <a:r>
              <a:rPr lang="en-US" sz="1600" b="1" baseline="0"/>
              <a:t> för</a:t>
            </a:r>
            <a:r>
              <a:rPr lang="en-US" sz="1600" b="1"/>
              <a:t>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Admin!$L$147:$Q$147</c:f>
              <c:numCache>
                <c:formatCode>_-* #\ ##0\ _k_r_-;\-* #\ ##0\ _k_r_-;_-* "-"??\ _k_r_-;_-@_-</c:formatCode>
                <c:ptCount val="6"/>
                <c:pt idx="0">
                  <c:v>-1960000</c:v>
                </c:pt>
                <c:pt idx="1">
                  <c:v>7228097.0873786397</c:v>
                </c:pt>
                <c:pt idx="2">
                  <c:v>16148579.696484117</c:v>
                </c:pt>
                <c:pt idx="3">
                  <c:v>24809242.423770986</c:v>
                </c:pt>
                <c:pt idx="4">
                  <c:v>33217652.838612609</c:v>
                </c:pt>
                <c:pt idx="5">
                  <c:v>41381158.0957404</c:v>
                </c:pt>
              </c:numCache>
            </c:numRef>
          </c:val>
          <c:smooth val="0"/>
          <c:extLst>
            <c:ext xmlns:c16="http://schemas.microsoft.com/office/drawing/2014/chart" uri="{C3380CC4-5D6E-409C-BE32-E72D297353CC}">
              <c16:uniqueId val="{00000000-F4D4-47AA-A082-17B6EEEE8B1F}"/>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Admin!$L$148:$Q$148</c:f>
              <c:numCache>
                <c:formatCode>_-* #\ ##0\ _k_r_-;\-* #\ ##0\ _k_r_-;_-* "-"??\ _k_r_-;_-@_-</c:formatCode>
                <c:ptCount val="6"/>
                <c:pt idx="0">
                  <c:v>-1960000</c:v>
                </c:pt>
                <c:pt idx="1">
                  <c:v>-392194.17475728155</c:v>
                </c:pt>
                <c:pt idx="2">
                  <c:v>1129947.4031482704</c:v>
                </c:pt>
                <c:pt idx="3">
                  <c:v>2607754.7603381267</c:v>
                </c:pt>
                <c:pt idx="4">
                  <c:v>4042519.1847942979</c:v>
                </c:pt>
                <c:pt idx="5">
                  <c:v>5435494.3541692216</c:v>
                </c:pt>
              </c:numCache>
            </c:numRef>
          </c:val>
          <c:smooth val="0"/>
          <c:extLst>
            <c:ext xmlns:c16="http://schemas.microsoft.com/office/drawing/2014/chart" uri="{C3380CC4-5D6E-409C-BE32-E72D297353CC}">
              <c16:uniqueId val="{00000001-F4D4-47AA-A082-17B6EEEE8B1F}"/>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-1960000</c:v>
                </c:pt>
                <c:pt idx="1">
                  <c:v>7044077.6699029114</c:v>
                </c:pt>
                <c:pt idx="2">
                  <c:v>15785900.650391176</c:v>
                </c:pt>
                <c:pt idx="3">
                  <c:v>24273107.427564248</c:v>
                </c:pt>
                <c:pt idx="4">
                  <c:v>32513114.007343929</c:v>
                </c:pt>
                <c:pt idx="5">
                  <c:v>40513120.395479545</c:v>
                </c:pt>
              </c:numCache>
            </c:numRef>
          </c:val>
          <c:smooth val="0"/>
          <c:extLst>
            <c:ext xmlns:c16="http://schemas.microsoft.com/office/drawing/2014/chart" uri="{C3380CC4-5D6E-409C-BE32-E72D297353CC}">
              <c16:uniqueId val="{00000002-F4D4-47AA-A082-17B6EEEE8B1F}"/>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0</c:v>
                </c:pt>
              </c:numCache>
            </c:numRef>
          </c:val>
          <c:extLst>
            <c:ext xmlns:c16="http://schemas.microsoft.com/office/drawing/2014/chart" uri="{C3380CC4-5D6E-409C-BE32-E72D297353CC}">
              <c16:uniqueId val="{00000000-9206-4C56-AA65-8BCF33C78EB3}"/>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44848614.513477355</c:v>
                </c:pt>
              </c:numCache>
            </c:numRef>
          </c:val>
          <c:extLst>
            <c:ext xmlns:c16="http://schemas.microsoft.com/office/drawing/2014/chart" uri="{C3380CC4-5D6E-409C-BE32-E72D297353CC}">
              <c16:uniqueId val="{00000003-9206-4C56-AA65-8BCF33C78EB3}"/>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4335494.1179978047</c:v>
                </c:pt>
              </c:numCache>
            </c:numRef>
          </c:val>
          <c:extLst>
            <c:ext xmlns:c16="http://schemas.microsoft.com/office/drawing/2014/chart" uri="{C3380CC4-5D6E-409C-BE32-E72D297353CC}">
              <c16:uniqueId val="{00000005-9206-4C56-AA65-8BCF33C78EB3}"/>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7-9206-4C56-AA65-8BCF33C78EB3}"/>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44848614.513477355</c:v>
                </c:pt>
              </c:numCache>
            </c:numRef>
          </c:val>
          <c:extLst>
            <c:ext xmlns:c16="http://schemas.microsoft.com/office/drawing/2014/chart" uri="{C3380CC4-5D6E-409C-BE32-E72D297353CC}">
              <c16:uniqueId val="{00000008-9206-4C56-AA65-8BCF33C78EB3}"/>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FDA-4CCF-B089-83B7208626FD}"/>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0</c:v>
                </c:pt>
                <c:pt idx="1">
                  <c:v>9507669.9029126205</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1-6FDA-4CCF-B089-83B7208626FD}"/>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-1960000</c:v>
                </c:pt>
                <c:pt idx="1">
                  <c:v>-503592.2330097087</c:v>
                </c:pt>
                <c:pt idx="2">
                  <c:v>-488924.49806767842</c:v>
                </c:pt>
                <c:pt idx="3">
                  <c:v>-474683.97870648385</c:v>
                </c:pt>
                <c:pt idx="4">
                  <c:v>-460858.23175386788</c:v>
                </c:pt>
                <c:pt idx="5">
                  <c:v>-447435.17646006594</c:v>
                </c:pt>
              </c:numCache>
            </c:numRef>
          </c:val>
          <c:extLst>
            <c:ext xmlns:c16="http://schemas.microsoft.com/office/drawing/2014/chart" uri="{C3380CC4-5D6E-409C-BE32-E72D297353CC}">
              <c16:uniqueId val="{00000002-6FDA-4CCF-B089-83B7208626FD}"/>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0</c:v>
                </c:pt>
                <c:pt idx="1">
                  <c:v>9507669.9029126205</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3-6FDA-4CCF-B089-83B7208626FD}"/>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-1960000</c:v>
                </c:pt>
                <c:pt idx="1">
                  <c:v>7044077.6699029114</c:v>
                </c:pt>
                <c:pt idx="2">
                  <c:v>15785900.650391176</c:v>
                </c:pt>
                <c:pt idx="3">
                  <c:v>24273107.427564248</c:v>
                </c:pt>
                <c:pt idx="4">
                  <c:v>32513114.007343929</c:v>
                </c:pt>
                <c:pt idx="5">
                  <c:v>40513120.395479545</c:v>
                </c:pt>
              </c:numCache>
            </c:numRef>
          </c:val>
          <c:smooth val="0"/>
          <c:extLst>
            <c:ext xmlns:c16="http://schemas.microsoft.com/office/drawing/2014/chart" uri="{C3380CC4-5D6E-409C-BE32-E72D297353CC}">
              <c16:uniqueId val="{00000004-6FDA-4CCF-B089-83B7208626FD}"/>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A161-49DF-A152-F3BC6A07BA2E}"/>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0</c:v>
                </c:pt>
                <c:pt idx="1">
                  <c:v>9507669.9029126205</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6-A161-49DF-A152-F3BC6A07BA2E}"/>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-1960000</c:v>
                </c:pt>
                <c:pt idx="1">
                  <c:v>-503592.2330097087</c:v>
                </c:pt>
                <c:pt idx="2">
                  <c:v>-488924.49806767842</c:v>
                </c:pt>
                <c:pt idx="3">
                  <c:v>-474683.97870648385</c:v>
                </c:pt>
                <c:pt idx="4">
                  <c:v>-460858.23175386788</c:v>
                </c:pt>
                <c:pt idx="5">
                  <c:v>-447435.17646006594</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0</c:v>
                </c:pt>
                <c:pt idx="1">
                  <c:v>9507669.9029126205</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8-A161-49DF-A152-F3BC6A07BA2E}"/>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-1960000</c:v>
                </c:pt>
                <c:pt idx="1">
                  <c:v>7044077.6699029114</c:v>
                </c:pt>
                <c:pt idx="2">
                  <c:v>15785900.650391176</c:v>
                </c:pt>
                <c:pt idx="3">
                  <c:v>24273107.427564248</c:v>
                </c:pt>
                <c:pt idx="4">
                  <c:v>32513114.007343929</c:v>
                </c:pt>
                <c:pt idx="5">
                  <c:v>40513120.395479545</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-1960000</c:v>
                </c:pt>
                <c:pt idx="1">
                  <c:v>-503592.2330097087</c:v>
                </c:pt>
                <c:pt idx="2">
                  <c:v>-488924.49806767842</c:v>
                </c:pt>
                <c:pt idx="3">
                  <c:v>-474683.97870648385</c:v>
                </c:pt>
                <c:pt idx="4">
                  <c:v>-460858.23175386788</c:v>
                </c:pt>
                <c:pt idx="5">
                  <c:v>-447435.17646006594</c:v>
                </c:pt>
              </c:numCache>
            </c:numRef>
          </c:val>
          <c:extLst>
            <c:ext xmlns:c16="http://schemas.microsoft.com/office/drawing/2014/chart" uri="{C3380CC4-5D6E-409C-BE32-E72D297353CC}">
              <c16:uniqueId val="{00000002-D885-4872-ADD5-656F546ED888}"/>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0</c:v>
                </c:pt>
                <c:pt idx="1">
                  <c:v>9507669.9029126205</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3-D885-4872-ADD5-656F546ED888}"/>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-1960000</c:v>
                </c:pt>
                <c:pt idx="1">
                  <c:v>7044077.6699029114</c:v>
                </c:pt>
                <c:pt idx="2">
                  <c:v>15785900.650391176</c:v>
                </c:pt>
                <c:pt idx="3">
                  <c:v>24273107.427564248</c:v>
                </c:pt>
                <c:pt idx="4">
                  <c:v>32513114.007343929</c:v>
                </c:pt>
                <c:pt idx="5">
                  <c:v>40513120.395479545</c:v>
                </c:pt>
              </c:numCache>
            </c:numRef>
          </c:val>
          <c:smooth val="0"/>
          <c:extLst>
            <c:ext xmlns:c16="http://schemas.microsoft.com/office/drawing/2014/chart" uri="{C3380CC4-5D6E-409C-BE32-E72D297353CC}">
              <c16:uniqueId val="{00000004-D885-4872-ADD5-656F546ED88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0</c:v>
                </c:pt>
                <c:pt idx="1">
                  <c:v>0</c:v>
                </c:pt>
                <c:pt idx="2">
                  <c:v>0</c:v>
                </c:pt>
              </c:numCache>
            </c:numRef>
          </c:val>
          <c:extLst>
            <c:ext xmlns:c16="http://schemas.microsoft.com/office/drawing/2014/chart" uri="{C3380CC4-5D6E-409C-BE32-E72D297353CC}">
              <c16:uniqueId val="{00000001-871E-40CE-8B47-7C1B94312584}"/>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8969722.9026954696</c:v>
                </c:pt>
                <c:pt idx="1">
                  <c:v>44848614.513477355</c:v>
                </c:pt>
                <c:pt idx="2">
                  <c:v>44848614.513477355</c:v>
                </c:pt>
              </c:numCache>
            </c:numRef>
          </c:val>
          <c:extLst>
            <c:ext xmlns:c16="http://schemas.microsoft.com/office/drawing/2014/chart" uri="{C3380CC4-5D6E-409C-BE32-E72D297353CC}">
              <c16:uniqueId val="{00000003-871E-40CE-8B47-7C1B94312584}"/>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3467456.4177369527</c:v>
                </c:pt>
                <c:pt idx="4">
                  <c:v>4335494.1179978047</c:v>
                </c:pt>
                <c:pt idx="5">
                  <c:v>3534228.5485262489</c:v>
                </c:pt>
              </c:numCache>
            </c:numRef>
          </c:val>
          <c:extLst>
            <c:ext xmlns:c16="http://schemas.microsoft.com/office/drawing/2014/chart" uri="{C3380CC4-5D6E-409C-BE32-E72D297353CC}">
              <c16:uniqueId val="{00000005-871E-40CE-8B47-7C1B943125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8969722.9026954696</c:v>
                </c:pt>
                <c:pt idx="1">
                  <c:v>44848614.513477355</c:v>
                </c:pt>
                <c:pt idx="2">
                  <c:v>44848614.513477355</c:v>
                </c:pt>
              </c:numCache>
            </c:numRef>
          </c:val>
          <c:extLst>
            <c:ext xmlns:c16="http://schemas.microsoft.com/office/drawing/2014/chart" uri="{C3380CC4-5D6E-409C-BE32-E72D297353CC}">
              <c16:uniqueId val="{00000007-871E-40CE-8B47-7C1B94312584}"/>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8969722.9026954696</c:v>
                </c:pt>
                <c:pt idx="1">
                  <c:v>3467456.4177369527</c:v>
                </c:pt>
                <c:pt idx="2">
                  <c:v>5435494.3541692207</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44848614.513477355</c:v>
                </c:pt>
                <c:pt idx="1">
                  <c:v>4335494.1179978047</c:v>
                </c:pt>
                <c:pt idx="2">
                  <c:v>40513120.395479552</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44848614.513477355</c:v>
                </c:pt>
                <c:pt idx="1">
                  <c:v>3534228.5485262489</c:v>
                </c:pt>
                <c:pt idx="2">
                  <c:v>41381158.0957404</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CB1-4DA4-97C3-79CEE7CE9C38}"/>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-1960000</c:v>
                </c:pt>
                <c:pt idx="1">
                  <c:v>-503592.2330097087</c:v>
                </c:pt>
                <c:pt idx="2">
                  <c:v>-488924.49806767842</c:v>
                </c:pt>
                <c:pt idx="3">
                  <c:v>-474683.97870648385</c:v>
                </c:pt>
                <c:pt idx="4">
                  <c:v>-460858.23175386788</c:v>
                </c:pt>
                <c:pt idx="5">
                  <c:v>-447435.17646006594</c:v>
                </c:pt>
              </c:numCache>
            </c:numRef>
          </c:val>
          <c:extLst>
            <c:ext xmlns:c16="http://schemas.microsoft.com/office/drawing/2014/chart" uri="{C3380CC4-5D6E-409C-BE32-E72D297353CC}">
              <c16:uniqueId val="{00000002-9CB1-4DA4-97C3-79CEE7CE9C38}"/>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Admin!$L$37:$Q$37</c:f>
              <c:numCache>
                <c:formatCode>_-* #\ ##0\ _k_r_-;\-* #\ ##0\ _k_r_-;_-* "-"??\ _k_r_-;_-@_-</c:formatCode>
                <c:ptCount val="6"/>
                <c:pt idx="0">
                  <c:v>-1960000</c:v>
                </c:pt>
                <c:pt idx="1">
                  <c:v>-2463592.2330097086</c:v>
                </c:pt>
                <c:pt idx="2">
                  <c:v>-2952516.731077387</c:v>
                </c:pt>
                <c:pt idx="3">
                  <c:v>-3427200.7097838707</c:v>
                </c:pt>
                <c:pt idx="4">
                  <c:v>-3888058.9415377388</c:v>
                </c:pt>
                <c:pt idx="5">
                  <c:v>-4335494.1179978047</c:v>
                </c:pt>
              </c:numCache>
            </c:numRef>
          </c:val>
          <c:smooth val="0"/>
          <c:extLst>
            <c:ext xmlns:c16="http://schemas.microsoft.com/office/drawing/2014/chart" uri="{C3380CC4-5D6E-409C-BE32-E72D297353CC}">
              <c16:uniqueId val="{00000004-9CB1-4DA4-97C3-79CEE7CE9C3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3162-4F6E-B0FF-88C0A3ECA2B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0</c:v>
                </c:pt>
              </c:numCache>
            </c:numRef>
          </c:val>
          <c:extLst>
            <c:ext xmlns:c16="http://schemas.microsoft.com/office/drawing/2014/chart" uri="{C3380CC4-5D6E-409C-BE32-E72D297353CC}">
              <c16:uniqueId val="{00000001-3162-4F6E-B0FF-88C0A3ECA2B6}"/>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4335494.1179978047</c:v>
                </c:pt>
              </c:numCache>
            </c:numRef>
          </c:val>
          <c:extLst>
            <c:ext xmlns:c16="http://schemas.microsoft.com/office/drawing/2014/chart" uri="{C3380CC4-5D6E-409C-BE32-E72D297353CC}">
              <c16:uniqueId val="{00000005-3162-4F6E-B0FF-88C0A3ECA2B6}"/>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0</c:v>
                </c:pt>
                <c:pt idx="1">
                  <c:v>0</c:v>
                </c:pt>
                <c:pt idx="2">
                  <c:v>0</c:v>
                </c:pt>
              </c:numCache>
            </c:numRef>
          </c:val>
          <c:extLst>
            <c:ext xmlns:c16="http://schemas.microsoft.com/office/drawing/2014/chart" uri="{C3380CC4-5D6E-409C-BE32-E72D297353CC}">
              <c16:uniqueId val="{00000000-8D24-4A73-B21B-439FE0806829}"/>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3467456.4177369527</c:v>
                </c:pt>
                <c:pt idx="4">
                  <c:v>4335494.1179978047</c:v>
                </c:pt>
                <c:pt idx="5">
                  <c:v>3534228.5485262489</c:v>
                </c:pt>
              </c:numCache>
            </c:numRef>
          </c:val>
          <c:extLst>
            <c:ext xmlns:c16="http://schemas.microsoft.com/office/drawing/2014/chart" uri="{C3380CC4-5D6E-409C-BE32-E72D297353CC}">
              <c16:uniqueId val="{00000005-8D24-4A73-B21B-439FE0806829}"/>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0</c:v>
                </c:pt>
                <c:pt idx="1">
                  <c:v>3467456.4177369527</c:v>
                </c:pt>
                <c:pt idx="2">
                  <c:v>-3534228.5485262489</c:v>
                </c:pt>
              </c:numCache>
            </c:numRef>
          </c:val>
          <c:smooth val="0"/>
          <c:extLst>
            <c:ext xmlns:c16="http://schemas.microsoft.com/office/drawing/2014/chart" uri="{C3380CC4-5D6E-409C-BE32-E72D297353CC}">
              <c16:uniqueId val="{00000002-B530-492C-9597-5373D9A98FCF}"/>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0</c:v>
                </c:pt>
                <c:pt idx="1">
                  <c:v>4335494.1179978047</c:v>
                </c:pt>
                <c:pt idx="2">
                  <c:v>-4335494.1179978047</c:v>
                </c:pt>
              </c:numCache>
            </c:numRef>
          </c:val>
          <c:smooth val="0"/>
          <c:extLst>
            <c:ext xmlns:c16="http://schemas.microsoft.com/office/drawing/2014/chart" uri="{C3380CC4-5D6E-409C-BE32-E72D297353CC}">
              <c16:uniqueId val="{00000006-B530-492C-9597-5373D9A98FCF}"/>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0</c:v>
                </c:pt>
                <c:pt idx="1">
                  <c:v>3534228.5485262489</c:v>
                </c:pt>
                <c:pt idx="2">
                  <c:v>-3467456.4177369527</c:v>
                </c:pt>
              </c:numCache>
            </c:numRef>
          </c:val>
          <c:smooth val="0"/>
          <c:extLst>
            <c:ext xmlns:c16="http://schemas.microsoft.com/office/drawing/2014/chart" uri="{C3380CC4-5D6E-409C-BE32-E72D297353CC}">
              <c16:uniqueId val="{00000009-B530-492C-9597-5373D9A98FCF}"/>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0</c:v>
                </c:pt>
                <c:pt idx="1">
                  <c:v>9507669.9029126205</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6-A161-49DF-A152-F3BC6A07BA2E}"/>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-1960000</c:v>
                </c:pt>
                <c:pt idx="1">
                  <c:v>-503592.2330097087</c:v>
                </c:pt>
                <c:pt idx="2">
                  <c:v>-488924.49806767842</c:v>
                </c:pt>
                <c:pt idx="3">
                  <c:v>-474683.97870648385</c:v>
                </c:pt>
                <c:pt idx="4">
                  <c:v>-460858.23175386788</c:v>
                </c:pt>
                <c:pt idx="5">
                  <c:v>-447435.17646006594</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Admin!$L$39:$Q$39</c:f>
              <c:numCache>
                <c:formatCode>_-* #\ ##0\ _k_r_-;\-* #\ ##0\ _k_r_-;_-* "-"??\ _k_r_-;_-@_-</c:formatCode>
                <c:ptCount val="6"/>
                <c:pt idx="0">
                  <c:v>-1960000</c:v>
                </c:pt>
                <c:pt idx="1">
                  <c:v>7044077.6699029114</c:v>
                </c:pt>
                <c:pt idx="2">
                  <c:v>15785900.650391176</c:v>
                </c:pt>
                <c:pt idx="3">
                  <c:v>24273107.427564248</c:v>
                </c:pt>
                <c:pt idx="4">
                  <c:v>32513114.007343929</c:v>
                </c:pt>
                <c:pt idx="5">
                  <c:v>40513120.395479545</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7.9769847442067148E-3"/>
          <c:y val="0.80112190765320679"/>
          <c:w val="0.9859025710894237"/>
          <c:h val="0.183091749108185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4335494.1179978047</c:v>
                </c:pt>
              </c:numCache>
            </c:numRef>
          </c:val>
          <c:extLst>
            <c:ext xmlns:c16="http://schemas.microsoft.com/office/drawing/2014/chart" uri="{C3380CC4-5D6E-409C-BE32-E72D297353CC}">
              <c16:uniqueId val="{00000005-7752-412E-B538-786DE78108B7}"/>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44848614.513477355</c:v>
                </c:pt>
              </c:numCache>
            </c:numRef>
          </c:val>
          <c:extLst>
            <c:ext xmlns:c16="http://schemas.microsoft.com/office/drawing/2014/chart" uri="{C3380CC4-5D6E-409C-BE32-E72D297353CC}">
              <c16:uniqueId val="{00000001-A152-45CD-80A7-CFA60D554CB0}"/>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-1960000</c:v>
                </c:pt>
                <c:pt idx="1">
                  <c:v>-503592.2330097087</c:v>
                </c:pt>
                <c:pt idx="2">
                  <c:v>-488924.49806767842</c:v>
                </c:pt>
                <c:pt idx="3">
                  <c:v>-474683.97870648385</c:v>
                </c:pt>
                <c:pt idx="4">
                  <c:v>-460858.23175386788</c:v>
                </c:pt>
                <c:pt idx="5">
                  <c:v>-447435.17646006594</c:v>
                </c:pt>
              </c:numCache>
            </c:numRef>
          </c:val>
          <c:extLst>
            <c:ext xmlns:c16="http://schemas.microsoft.com/office/drawing/2014/chart" uri="{C3380CC4-5D6E-409C-BE32-E72D297353CC}">
              <c16:uniqueId val="{00000000-83E9-4A2F-8A19-C0E18B0FF89F}"/>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0</c:v>
                </c:pt>
                <c:pt idx="1">
                  <c:v>9507669.9029126205</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1-83E9-4A2F-8A19-C0E18B0FF89F}"/>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-1960000</c:v>
                </c:pt>
                <c:pt idx="1">
                  <c:v>7044077.6699029114</c:v>
                </c:pt>
                <c:pt idx="2">
                  <c:v>15785900.650391176</c:v>
                </c:pt>
                <c:pt idx="3">
                  <c:v>24273107.427564248</c:v>
                </c:pt>
                <c:pt idx="4">
                  <c:v>32513114.007343929</c:v>
                </c:pt>
                <c:pt idx="5">
                  <c:v>40513120.395479545</c:v>
                </c:pt>
              </c:numCache>
            </c:numRef>
          </c:val>
          <c:smooth val="0"/>
          <c:extLst>
            <c:ext xmlns:c16="http://schemas.microsoft.com/office/drawing/2014/chart" uri="{C3380CC4-5D6E-409C-BE32-E72D297353CC}">
              <c16:uniqueId val="{00000002-83E9-4A2F-8A19-C0E18B0FF89F}"/>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8969722.9026954696</c:v>
                </c:pt>
                <c:pt idx="1">
                  <c:v>44848614.513477355</c:v>
                </c:pt>
                <c:pt idx="2">
                  <c:v>44848614.513477355</c:v>
                </c:pt>
              </c:numCache>
            </c:numRef>
          </c:val>
          <c:extLst>
            <c:ext xmlns:c16="http://schemas.microsoft.com/office/drawing/2014/chart" uri="{C3380CC4-5D6E-409C-BE32-E72D297353CC}">
              <c16:uniqueId val="{00000001-A946-47DC-A5A2-F9B227A657DD}"/>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3467456.4177369527</c:v>
                </c:pt>
                <c:pt idx="4">
                  <c:v>4335494.1179978047</c:v>
                </c:pt>
                <c:pt idx="5">
                  <c:v>3534228.5485262489</c:v>
                </c:pt>
              </c:numCache>
            </c:numRef>
          </c:val>
          <c:extLst>
            <c:ext xmlns:c16="http://schemas.microsoft.com/office/drawing/2014/chart" uri="{C3380CC4-5D6E-409C-BE32-E72D297353CC}">
              <c16:uniqueId val="{00000005-A946-47DC-A5A2-F9B227A657DD}"/>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8969722.9026954696</c:v>
                </c:pt>
                <c:pt idx="1">
                  <c:v>3467456.4177369527</c:v>
                </c:pt>
                <c:pt idx="2">
                  <c:v>5435494.3541692207</c:v>
                </c:pt>
              </c:numCache>
            </c:numRef>
          </c:val>
          <c:smooth val="0"/>
          <c:extLst>
            <c:ext xmlns:c16="http://schemas.microsoft.com/office/drawing/2014/chart" uri="{C3380CC4-5D6E-409C-BE32-E72D297353CC}">
              <c16:uniqueId val="{00000001-F882-4399-9A04-5B303433EA0B}"/>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44848614.513477355</c:v>
                </c:pt>
                <c:pt idx="1">
                  <c:v>4335494.1179978047</c:v>
                </c:pt>
                <c:pt idx="2">
                  <c:v>40513120.395479552</c:v>
                </c:pt>
              </c:numCache>
            </c:numRef>
          </c:val>
          <c:smooth val="0"/>
          <c:extLst>
            <c:ext xmlns:c16="http://schemas.microsoft.com/office/drawing/2014/chart" uri="{C3380CC4-5D6E-409C-BE32-E72D297353CC}">
              <c16:uniqueId val="{00000002-F882-4399-9A04-5B303433EA0B}"/>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44848614.513477355</c:v>
                </c:pt>
                <c:pt idx="1">
                  <c:v>3534228.5485262489</c:v>
                </c:pt>
                <c:pt idx="2">
                  <c:v>41381158.0957404</c:v>
                </c:pt>
              </c:numCache>
            </c:numRef>
          </c:val>
          <c:smooth val="0"/>
          <c:extLst>
            <c:ext xmlns:c16="http://schemas.microsoft.com/office/drawing/2014/chart" uri="{C3380CC4-5D6E-409C-BE32-E72D297353CC}">
              <c16:uniqueId val="{00000004-F882-4399-9A04-5B303433EA0B}"/>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1177_0.2.xlsx]Admin!Pivottabell16</c:name>
    <c:fmtId val="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27C-450F-8BCA-DE083F7A45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c:f>
              <c:strCache>
                <c:ptCount val="1"/>
                <c:pt idx="0">
                  <c:v>Regioner</c:v>
                </c:pt>
              </c:strCache>
            </c:strRef>
          </c:cat>
          <c:val>
            <c:numRef>
              <c:f>Admin!$L$176</c:f>
              <c:numCache>
                <c:formatCode>_-* #\ ##0\ _k_r_-;\-* #\ ##0\ _k_r_-;_-* "-"??\ _k_r_-;_-@_-</c:formatCode>
                <c:ptCount val="1"/>
                <c:pt idx="0">
                  <c:v>44848614.513477355</c:v>
                </c:pt>
              </c:numCache>
            </c:numRef>
          </c:val>
          <c:extLst>
            <c:ext xmlns:c16="http://schemas.microsoft.com/office/drawing/2014/chart" uri="{C3380CC4-5D6E-409C-BE32-E72D297353CC}">
              <c16:uniqueId val="{00000000-C9F4-4FD2-89E4-E02B2805E58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[Nyttokalkyl_e-id 1177_0.2.xlsx]Admin!Pivottabell17</c:name>
    <c:fmtId val="1"/>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689A-4349-AF98-BB9DDE24E6D9}"/>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Regioner</c:v>
                </c:pt>
              </c:strCache>
            </c:strRef>
          </c:cat>
          <c:val>
            <c:numRef>
              <c:f>Admin!$L$192</c:f>
              <c:numCache>
                <c:formatCode>_-* #\ ##0\ _k_r_-;\-* #\ ##0\ _k_r_-;_-* "-"??\ _k_r_-;_-@_-</c:formatCode>
                <c:ptCount val="1"/>
                <c:pt idx="0">
                  <c:v>4335494.1179978047</c:v>
                </c:pt>
              </c:numCache>
            </c:numRef>
          </c:val>
          <c:extLst>
            <c:ext xmlns:c16="http://schemas.microsoft.com/office/drawing/2014/chart" uri="{C3380CC4-5D6E-409C-BE32-E72D297353CC}">
              <c16:uniqueId val="{00000000-4CED-46DE-98B4-0B3D7A84988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1177_0.2.xlsx]Admin!Pivottabell19</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6.9511388888888886E-2"/>
          <c:y val="0.11784194444444444"/>
          <c:w val="0.87156055555555545"/>
          <c:h val="0.87156055555555545"/>
        </c:manualLayout>
      </c:layout>
      <c:pieChart>
        <c:varyColors val="1"/>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1177_0.2.xlsx]Admin!Pivottabell20</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D-4D00-9960-A2545C70A76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c:f>
              <c:strCache>
                <c:ptCount val="1"/>
                <c:pt idx="0">
                  <c:v>Regioner</c:v>
                </c:pt>
              </c:strCache>
            </c:strRef>
          </c:cat>
          <c:val>
            <c:numRef>
              <c:f>Admin!$AT$172</c:f>
              <c:numCache>
                <c:formatCode>_-* #\ ##0\ _k_r_-;\-* #\ ##0\ _k_r_-;_-* "-"??\ _k_r_-;_-@_-</c:formatCode>
                <c:ptCount val="1"/>
                <c:pt idx="0">
                  <c:v>44848614.513477355</c:v>
                </c:pt>
              </c:numCache>
            </c:numRef>
          </c:val>
          <c:extLst>
            <c:ext xmlns:c16="http://schemas.microsoft.com/office/drawing/2014/chart" uri="{C3380CC4-5D6E-409C-BE32-E72D297353CC}">
              <c16:uniqueId val="{00000000-367C-4DD0-83A1-1BB78E05A7F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(6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Admin!$L$147:$Q$147</c:f>
              <c:numCache>
                <c:formatCode>_-* #\ ##0\ _k_r_-;\-* #\ ##0\ _k_r_-;_-* "-"??\ _k_r_-;_-@_-</c:formatCode>
                <c:ptCount val="6"/>
                <c:pt idx="0">
                  <c:v>-1960000</c:v>
                </c:pt>
                <c:pt idx="1">
                  <c:v>7228097.0873786397</c:v>
                </c:pt>
                <c:pt idx="2">
                  <c:v>16148579.696484117</c:v>
                </c:pt>
                <c:pt idx="3">
                  <c:v>24809242.423770986</c:v>
                </c:pt>
                <c:pt idx="4">
                  <c:v>33217652.838612609</c:v>
                </c:pt>
                <c:pt idx="5">
                  <c:v>41381158.0957404</c:v>
                </c:pt>
              </c:numCache>
            </c:numRef>
          </c:val>
          <c:smooth val="0"/>
          <c:extLst>
            <c:ext xmlns:c16="http://schemas.microsoft.com/office/drawing/2014/chart" uri="{C3380CC4-5D6E-409C-BE32-E72D297353CC}">
              <c16:uniqueId val="{00000000-FEA9-42FD-890F-785E0CD5B596}"/>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Admin!$L$148:$Q$148</c:f>
              <c:numCache>
                <c:formatCode>_-* #\ ##0\ _k_r_-;\-* #\ ##0\ _k_r_-;_-* "-"??\ _k_r_-;_-@_-</c:formatCode>
                <c:ptCount val="6"/>
                <c:pt idx="0">
                  <c:v>-1960000</c:v>
                </c:pt>
                <c:pt idx="1">
                  <c:v>-392194.17475728155</c:v>
                </c:pt>
                <c:pt idx="2">
                  <c:v>1129947.4031482704</c:v>
                </c:pt>
                <c:pt idx="3">
                  <c:v>2607754.7603381267</c:v>
                </c:pt>
                <c:pt idx="4">
                  <c:v>4042519.1847942979</c:v>
                </c:pt>
                <c:pt idx="5">
                  <c:v>5435494.3541692216</c:v>
                </c:pt>
              </c:numCache>
            </c:numRef>
          </c:val>
          <c:smooth val="0"/>
          <c:extLst>
            <c:ext xmlns:c16="http://schemas.microsoft.com/office/drawing/2014/chart" uri="{C3380CC4-5D6E-409C-BE32-E72D297353CC}">
              <c16:uniqueId val="{00000001-FEA9-42FD-890F-785E0CD5B596}"/>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-1960000</c:v>
                </c:pt>
                <c:pt idx="1">
                  <c:v>7044077.6699029114</c:v>
                </c:pt>
                <c:pt idx="2">
                  <c:v>15785900.650391176</c:v>
                </c:pt>
                <c:pt idx="3">
                  <c:v>24273107.427564248</c:v>
                </c:pt>
                <c:pt idx="4">
                  <c:v>32513114.007343929</c:v>
                </c:pt>
                <c:pt idx="5">
                  <c:v>40513120.395479545</c:v>
                </c:pt>
              </c:numCache>
            </c:numRef>
          </c:val>
          <c:smooth val="0"/>
          <c:extLst>
            <c:ext xmlns:c16="http://schemas.microsoft.com/office/drawing/2014/chart" uri="{C3380CC4-5D6E-409C-BE32-E72D297353CC}">
              <c16:uniqueId val="{00000002-FEA9-42FD-890F-785E0CD5B596}"/>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0</c:v>
                </c:pt>
                <c:pt idx="1">
                  <c:v>0</c:v>
                </c:pt>
                <c:pt idx="2">
                  <c:v>0</c:v>
                </c:pt>
              </c:numCache>
            </c:numRef>
          </c:val>
          <c:extLst>
            <c:ext xmlns:c16="http://schemas.microsoft.com/office/drawing/2014/chart" uri="{C3380CC4-5D6E-409C-BE32-E72D297353CC}">
              <c16:uniqueId val="{00000000-8031-4A8F-B108-76E9E24884EE}"/>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8969722.9026954696</c:v>
                </c:pt>
                <c:pt idx="1">
                  <c:v>44848614.513477355</c:v>
                </c:pt>
                <c:pt idx="2">
                  <c:v>44848614.513477355</c:v>
                </c:pt>
              </c:numCache>
            </c:numRef>
          </c:val>
          <c:extLst>
            <c:ext xmlns:c16="http://schemas.microsoft.com/office/drawing/2014/chart" uri="{C3380CC4-5D6E-409C-BE32-E72D297353CC}">
              <c16:uniqueId val="{00000001-8031-4A8F-B108-76E9E24884EE}"/>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3467456.4177369527</c:v>
                </c:pt>
                <c:pt idx="4">
                  <c:v>4335494.1179978047</c:v>
                </c:pt>
                <c:pt idx="5">
                  <c:v>3534228.5485262489</c:v>
                </c:pt>
              </c:numCache>
            </c:numRef>
          </c:val>
          <c:extLst>
            <c:ext xmlns:c16="http://schemas.microsoft.com/office/drawing/2014/chart" uri="{C3380CC4-5D6E-409C-BE32-E72D297353CC}">
              <c16:uniqueId val="{00000005-8031-4A8F-B108-76E9E24884EE}"/>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8969722.9026954696</c:v>
                </c:pt>
                <c:pt idx="1">
                  <c:v>44848614.513477355</c:v>
                </c:pt>
                <c:pt idx="2">
                  <c:v>44848614.513477355</c:v>
                </c:pt>
              </c:numCache>
            </c:numRef>
          </c:val>
          <c:extLst>
            <c:ext xmlns:c16="http://schemas.microsoft.com/office/drawing/2014/chart" uri="{C3380CC4-5D6E-409C-BE32-E72D297353CC}">
              <c16:uniqueId val="{00000009-8031-4A8F-B108-76E9E24884EE}"/>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49D-B01E-165F5A31F104}"/>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8969722.9026954696</c:v>
                </c:pt>
                <c:pt idx="1">
                  <c:v>3467456.4177369527</c:v>
                </c:pt>
                <c:pt idx="2">
                  <c:v>5435494.3541692207</c:v>
                </c:pt>
              </c:numCache>
            </c:numRef>
          </c:val>
          <c:smooth val="0"/>
          <c:extLst>
            <c:ext xmlns:c16="http://schemas.microsoft.com/office/drawing/2014/chart" uri="{C3380CC4-5D6E-409C-BE32-E72D297353CC}">
              <c16:uniqueId val="{00000002-94DA-449D-B01E-165F5A31F104}"/>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DA-449D-B01E-165F5A31F104}"/>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A-449D-B01E-165F5A31F104}"/>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44848614.513477355</c:v>
                </c:pt>
                <c:pt idx="1">
                  <c:v>4335494.1179978047</c:v>
                </c:pt>
                <c:pt idx="2">
                  <c:v>40513120.395479552</c:v>
                </c:pt>
              </c:numCache>
            </c:numRef>
          </c:val>
          <c:smooth val="0"/>
          <c:extLst>
            <c:ext xmlns:c16="http://schemas.microsoft.com/office/drawing/2014/chart" uri="{C3380CC4-5D6E-409C-BE32-E72D297353CC}">
              <c16:uniqueId val="{00000006-94DA-449D-B01E-165F5A31F104}"/>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A-449D-B01E-165F5A31F104}"/>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44848614.513477355</c:v>
                </c:pt>
                <c:pt idx="1">
                  <c:v>3534228.5485262489</c:v>
                </c:pt>
                <c:pt idx="2">
                  <c:v>41381158.0957404</c:v>
                </c:pt>
              </c:numCache>
            </c:numRef>
          </c:val>
          <c:smooth val="0"/>
          <c:extLst>
            <c:ext xmlns:c16="http://schemas.microsoft.com/office/drawing/2014/chart" uri="{C3380CC4-5D6E-409C-BE32-E72D297353CC}">
              <c16:uniqueId val="{00000009-94DA-449D-B01E-165F5A31F10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700D-44B0-A759-997EEEE8E75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0</c:v>
                </c:pt>
              </c:numCache>
            </c:numRef>
          </c:val>
          <c:extLst>
            <c:ext xmlns:c16="http://schemas.microsoft.com/office/drawing/2014/chart" uri="{C3380CC4-5D6E-409C-BE32-E72D297353CC}">
              <c16:uniqueId val="{00000001-700D-44B0-A759-997EEEE8E75B}"/>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4335494.1179978047</c:v>
                </c:pt>
              </c:numCache>
            </c:numRef>
          </c:val>
          <c:extLst>
            <c:ext xmlns:c16="http://schemas.microsoft.com/office/drawing/2014/chart" uri="{C3380CC4-5D6E-409C-BE32-E72D297353CC}">
              <c16:uniqueId val="{00000003-700D-44B0-A759-997EEEE8E75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530-4CEF-8110-DA1E9CCB000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-1960000</c:v>
                </c:pt>
                <c:pt idx="1">
                  <c:v>-503592.2330097087</c:v>
                </c:pt>
                <c:pt idx="2">
                  <c:v>-488924.49806767842</c:v>
                </c:pt>
                <c:pt idx="3">
                  <c:v>-474683.97870648385</c:v>
                </c:pt>
                <c:pt idx="4">
                  <c:v>-460858.23175386788</c:v>
                </c:pt>
                <c:pt idx="5">
                  <c:v>-447435.17646006594</c:v>
                </c:pt>
              </c:numCache>
            </c:numRef>
          </c:val>
          <c:extLst>
            <c:ext xmlns:c16="http://schemas.microsoft.com/office/drawing/2014/chart" uri="{C3380CC4-5D6E-409C-BE32-E72D297353CC}">
              <c16:uniqueId val="{00000001-3530-4CEF-8110-DA1E9CCB000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Admin!$L$37:$Q$37</c:f>
              <c:numCache>
                <c:formatCode>_-* #\ ##0\ _k_r_-;\-* #\ ##0\ _k_r_-;_-* "-"??\ _k_r_-;_-@_-</c:formatCode>
                <c:ptCount val="6"/>
                <c:pt idx="0">
                  <c:v>-1960000</c:v>
                </c:pt>
                <c:pt idx="1">
                  <c:v>-2463592.2330097086</c:v>
                </c:pt>
                <c:pt idx="2">
                  <c:v>-2952516.731077387</c:v>
                </c:pt>
                <c:pt idx="3">
                  <c:v>-3427200.7097838707</c:v>
                </c:pt>
                <c:pt idx="4">
                  <c:v>-3888058.9415377388</c:v>
                </c:pt>
                <c:pt idx="5">
                  <c:v>-4335494.1179978047</c:v>
                </c:pt>
              </c:numCache>
            </c:numRef>
          </c:val>
          <c:smooth val="0"/>
          <c:extLst>
            <c:ext xmlns:c16="http://schemas.microsoft.com/office/drawing/2014/chart" uri="{C3380CC4-5D6E-409C-BE32-E72D297353CC}">
              <c16:uniqueId val="{00000002-3530-4CEF-8110-DA1E9CCB000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0</c:v>
                </c:pt>
                <c:pt idx="1">
                  <c:v>0</c:v>
                </c:pt>
                <c:pt idx="2">
                  <c:v>0</c:v>
                </c:pt>
              </c:numCache>
            </c:numRef>
          </c:val>
          <c:extLst>
            <c:ext xmlns:c16="http://schemas.microsoft.com/office/drawing/2014/chart" uri="{C3380CC4-5D6E-409C-BE32-E72D297353CC}">
              <c16:uniqueId val="{00000003-6F29-4B23-AC89-CCCA3424DAC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3467456.4177369527</c:v>
                </c:pt>
                <c:pt idx="4">
                  <c:v>4335494.1179978047</c:v>
                </c:pt>
                <c:pt idx="5">
                  <c:v>3534228.5485262489</c:v>
                </c:pt>
              </c:numCache>
            </c:numRef>
          </c:val>
          <c:extLst>
            <c:ext xmlns:c16="http://schemas.microsoft.com/office/drawing/2014/chart" uri="{C3380CC4-5D6E-409C-BE32-E72D297353CC}">
              <c16:uniqueId val="{00000007-6F29-4B23-AC89-CCCA3424DACB}"/>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0</c:v>
                </c:pt>
                <c:pt idx="1">
                  <c:v>3467456.4177369527</c:v>
                </c:pt>
                <c:pt idx="2">
                  <c:v>-3534228.5485262489</c:v>
                </c:pt>
              </c:numCache>
            </c:numRef>
          </c:val>
          <c:smooth val="0"/>
          <c:extLst>
            <c:ext xmlns:c16="http://schemas.microsoft.com/office/drawing/2014/chart" uri="{C3380CC4-5D6E-409C-BE32-E72D297353CC}">
              <c16:uniqueId val="{00000001-1595-4079-98B8-7DF39E011C31}"/>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0</c:v>
                </c:pt>
                <c:pt idx="1">
                  <c:v>4335494.1179978047</c:v>
                </c:pt>
                <c:pt idx="2">
                  <c:v>-4335494.1179978047</c:v>
                </c:pt>
              </c:numCache>
            </c:numRef>
          </c:val>
          <c:smooth val="0"/>
          <c:extLst>
            <c:ext xmlns:c16="http://schemas.microsoft.com/office/drawing/2014/chart" uri="{C3380CC4-5D6E-409C-BE32-E72D297353CC}">
              <c16:uniqueId val="{00000002-1595-4079-98B8-7DF39E011C31}"/>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0</c:v>
                </c:pt>
                <c:pt idx="1">
                  <c:v>3534228.5485262489</c:v>
                </c:pt>
                <c:pt idx="2">
                  <c:v>-3467456.4177369527</c:v>
                </c:pt>
              </c:numCache>
            </c:numRef>
          </c:val>
          <c:smooth val="0"/>
          <c:extLst>
            <c:ext xmlns:c16="http://schemas.microsoft.com/office/drawing/2014/chart" uri="{C3380CC4-5D6E-409C-BE32-E72D297353CC}">
              <c16:uniqueId val="{00000004-1595-4079-98B8-7DF39E011C31}"/>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11</xdr:col>
      <xdr:colOff>323850</xdr:colOff>
      <xdr:row>4</xdr:row>
      <xdr:rowOff>57149</xdr:rowOff>
    </xdr:from>
    <xdr:ext cx="3609975" cy="5981701"/>
    <xdr:sp macro="" textlink="">
      <xdr:nvSpPr>
        <xdr:cNvPr id="3" name="textruta 2">
          <a:extLst>
            <a:ext uri="{FF2B5EF4-FFF2-40B4-BE49-F238E27FC236}">
              <a16:creationId xmlns:a16="http://schemas.microsoft.com/office/drawing/2014/main" id="{C09ED4B3-0011-42CF-A395-A9686AF4298C}"/>
            </a:ext>
          </a:extLst>
        </xdr:cNvPr>
        <xdr:cNvSpPr txBox="1"/>
      </xdr:nvSpPr>
      <xdr:spPr>
        <a:xfrm>
          <a:off x="13096875" y="742949"/>
          <a:ext cx="3609975" cy="598170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000" b="1" baseline="0"/>
            <a:t>Om nyttokalkylen</a:t>
          </a:r>
        </a:p>
        <a:p>
          <a:endParaRPr lang="sv-SE" sz="1000" b="0" baseline="0"/>
        </a:p>
        <a:p>
          <a:r>
            <a:rPr lang="sv-SE" sz="1000" b="0" baseline="0"/>
            <a:t>Nyttokalkylen är ett verktyg i arbetet med nyttorealisering, det vill säga i ett aktivt och systematiskt arbete för att säkerställa och optimera nyttan från förändringar.</a:t>
          </a:r>
        </a:p>
        <a:p>
          <a:endParaRPr lang="sv-SE" sz="1000" b="0" baseline="0"/>
        </a:p>
        <a:p>
          <a:r>
            <a:rPr lang="sv-SE" sz="1000" b="0" baseline="0"/>
            <a:t>Nyttokalkylen värderar vilken nytta som förväntas från en förändring och vilka kostnader som är förknippade med den, samt fördelar dessa på de olika intressenterna.</a:t>
          </a:r>
        </a:p>
        <a:p>
          <a:endParaRPr lang="sv-SE" sz="1000" b="0" baseline="0"/>
        </a:p>
        <a:p>
          <a:r>
            <a:rPr lang="sv-SE" sz="1000" b="0" baseline="0"/>
            <a:t>Nyttokalkylen är underlag för beslut. Men det är också ett stöd för utveckling och för att realisera nyttorna från en förändring.</a:t>
          </a:r>
        </a:p>
        <a:p>
          <a:endParaRPr lang="sv-SE" sz="1000" b="0" baseline="0"/>
        </a:p>
        <a:p>
          <a:endParaRPr lang="sv-SE" sz="1000" b="0" baseline="0"/>
        </a:p>
        <a:p>
          <a:r>
            <a:rPr lang="sv-SE" sz="1000" b="1" baseline="0"/>
            <a:t>Om mallen</a:t>
          </a:r>
        </a:p>
        <a:p>
          <a:endParaRPr lang="sv-SE" sz="1000" b="1" baseline="0"/>
        </a:p>
        <a:p>
          <a:r>
            <a:rPr lang="sv-SE" sz="1000" b="0" baseline="0"/>
            <a:t>Du kan använda mallen för att sätta upp din nyttokalkyl. Den hjälper dig att strukturera kalkylen och att ha transparanta och spårbara beräkningar som är lätta att ändra vid behov. </a:t>
          </a:r>
        </a:p>
        <a:p>
          <a:endParaRPr lang="sv-SE" sz="1000" b="0" baseline="0"/>
        </a:p>
        <a:p>
          <a:endParaRPr lang="sv-SE" sz="1000" b="1" baseline="0"/>
        </a:p>
        <a:p>
          <a:endParaRPr lang="sv-SE" sz="1000" b="1" baseline="0"/>
        </a:p>
        <a:p>
          <a:pPr marL="0" marR="0" lvl="0" indent="0" defTabSz="914400" eaLnBrk="1" fontAlgn="auto" latinLnBrk="0" hangingPunct="1">
            <a:lnSpc>
              <a:spcPct val="100000"/>
            </a:lnSpc>
            <a:spcBef>
              <a:spcPts val="0"/>
            </a:spcBef>
            <a:spcAft>
              <a:spcPts val="0"/>
            </a:spcAft>
            <a:buClrTx/>
            <a:buSzTx/>
            <a:buFontTx/>
            <a:buNone/>
            <a:tabLst/>
            <a:defRPr/>
          </a:pPr>
          <a:r>
            <a:rPr lang="sv-SE" sz="1000" b="1" baseline="0">
              <a:solidFill>
                <a:schemeClr val="tx1"/>
              </a:solidFill>
              <a:effectLst/>
              <a:latin typeface="+mn-lt"/>
              <a:ea typeface="+mn-ea"/>
              <a:cs typeface="+mn-cs"/>
            </a:rPr>
            <a:t>Mer stöd på sidan Öppen info: Nyttokalkyler</a:t>
          </a:r>
          <a:endParaRPr lang="sv-SE" sz="1000">
            <a:effectLst/>
          </a:endParaRPr>
        </a:p>
        <a:p>
          <a:endParaRPr lang="sv-SE" sz="1000" b="1" baseline="0"/>
        </a:p>
        <a:p>
          <a:r>
            <a:rPr lang="sv-SE" sz="1000" b="0" baseline="0"/>
            <a:t>På Ineras sida Öppen info: Nyttokalkyler hittar du en praktisk guide för hur du kan ta fram en nyttokalkyl steg för steg och förslag på värden för kalkylfaktorer. </a:t>
          </a:r>
          <a:r>
            <a:rPr lang="sv-SE" sz="1000" b="0" u="none" baseline="0"/>
            <a:t>Här finns även exempelkalkyler från andra tjänster och projekt. </a:t>
          </a:r>
        </a:p>
        <a:p>
          <a:endParaRPr lang="sv-SE" sz="1000" b="0" u="none" baseline="0"/>
        </a:p>
        <a:p>
          <a:r>
            <a:rPr lang="sv-SE" sz="1000">
              <a:hlinkClick xmlns:r="http://schemas.openxmlformats.org/officeDocument/2006/relationships" r:id=""/>
            </a:rPr>
            <a:t>Öppen info: Nyttokalkyler - Confluence (atlassian.net)</a:t>
          </a:r>
          <a:endParaRPr lang="sv-SE" sz="100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pPr algn="ctr"/>
          <a:endParaRPr lang="sv-SE" sz="1000">
            <a:hlinkClick xmlns:r="http://schemas.openxmlformats.org/officeDocument/2006/relationships" r:id=""/>
          </a:endParaRPr>
        </a:p>
        <a:p>
          <a:endParaRPr lang="sv-SE" sz="1000" b="0" u="none" baseline="0"/>
        </a:p>
        <a:p>
          <a:endParaRPr lang="sv-SE" sz="1000" b="0" u="none" baseline="0"/>
        </a:p>
      </xdr:txBody>
    </xdr:sp>
    <xdr:clientData/>
  </xdr:oneCellAnchor>
  <xdr:twoCellAnchor editAs="oneCell">
    <xdr:from>
      <xdr:col>13</xdr:col>
      <xdr:colOff>0</xdr:colOff>
      <xdr:row>29</xdr:row>
      <xdr:rowOff>0</xdr:rowOff>
    </xdr:from>
    <xdr:to>
      <xdr:col>13</xdr:col>
      <xdr:colOff>304800</xdr:colOff>
      <xdr:row>30</xdr:row>
      <xdr:rowOff>142875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20</xdr:row>
      <xdr:rowOff>0</xdr:rowOff>
    </xdr:from>
    <xdr:to>
      <xdr:col>13</xdr:col>
      <xdr:colOff>304800</xdr:colOff>
      <xdr:row>21</xdr:row>
      <xdr:rowOff>142875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133351</xdr:colOff>
      <xdr:row>34</xdr:row>
      <xdr:rowOff>95251</xdr:rowOff>
    </xdr:from>
    <xdr:to>
      <xdr:col>15</xdr:col>
      <xdr:colOff>85725</xdr:colOff>
      <xdr:row>38</xdr:row>
      <xdr:rowOff>149985</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25576" y="5638801"/>
          <a:ext cx="1171574" cy="702434"/>
        </a:xfrm>
        <a:prstGeom prst="rect">
          <a:avLst/>
        </a:prstGeom>
      </xdr:spPr>
    </xdr:pic>
    <xdr:clientData/>
  </xdr:twoCellAnchor>
  <xdr:twoCellAnchor>
    <xdr:from>
      <xdr:col>5</xdr:col>
      <xdr:colOff>390524</xdr:colOff>
      <xdr:row>3</xdr:row>
      <xdr:rowOff>9525</xdr:rowOff>
    </xdr:from>
    <xdr:to>
      <xdr:col>7</xdr:col>
      <xdr:colOff>428625</xdr:colOff>
      <xdr:row>9</xdr:row>
      <xdr:rowOff>104775</xdr:rowOff>
    </xdr:to>
    <xdr:sp macro="" textlink="">
      <xdr:nvSpPr>
        <xdr:cNvPr id="2" name="Pratbubbla: rad 1">
          <a:extLst>
            <a:ext uri="{FF2B5EF4-FFF2-40B4-BE49-F238E27FC236}">
              <a16:creationId xmlns:a16="http://schemas.microsoft.com/office/drawing/2014/main" id="{C2E1DB94-F3E1-4145-873A-416DC3076FB3}"/>
            </a:ext>
          </a:extLst>
        </xdr:cNvPr>
        <xdr:cNvSpPr/>
      </xdr:nvSpPr>
      <xdr:spPr>
        <a:xfrm>
          <a:off x="9505949" y="533400"/>
          <a:ext cx="1257301" cy="1066800"/>
        </a:xfrm>
        <a:prstGeom prst="borderCallout1">
          <a:avLst>
            <a:gd name="adj1" fmla="val 16645"/>
            <a:gd name="adj2" fmla="val 4841"/>
            <a:gd name="adj3" fmla="val 40871"/>
            <a:gd name="adj4" fmla="val -29713"/>
          </a:avLst>
        </a:prstGeom>
        <a:solidFill>
          <a:srgbClr val="BEA3D5"/>
        </a:solidFill>
        <a:ln>
          <a:solidFill>
            <a:srgbClr val="BEA3D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000">
              <a:solidFill>
                <a:sysClr val="windowText" lastClr="000000"/>
              </a:solidFill>
            </a:rPr>
            <a:t>Du</a:t>
          </a:r>
          <a:r>
            <a:rPr lang="sv-SE" sz="1000" baseline="0">
              <a:solidFill>
                <a:sysClr val="windowText" lastClr="000000"/>
              </a:solidFill>
            </a:rPr>
            <a:t> hittar hjälptexter som kommentarer om du för muspekaren över  de lila hörnen. </a:t>
          </a:r>
          <a:endParaRPr lang="sv-SE"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5920809</xdr:colOff>
      <xdr:row>0</xdr:row>
      <xdr:rowOff>168387</xdr:rowOff>
    </xdr:from>
    <xdr:to>
      <xdr:col>3</xdr:col>
      <xdr:colOff>1316493</xdr:colOff>
      <xdr:row>1</xdr:row>
      <xdr:rowOff>181995</xdr:rowOff>
    </xdr:to>
    <xdr:sp macro="" textlink="">
      <xdr:nvSpPr>
        <xdr:cNvPr id="2" name="Pratbubbla: rektangel 1">
          <a:extLst>
            <a:ext uri="{FF2B5EF4-FFF2-40B4-BE49-F238E27FC236}">
              <a16:creationId xmlns:a16="http://schemas.microsoft.com/office/drawing/2014/main" id="{FF393F85-C725-44C9-9E1F-8060819C2BDF}"/>
            </a:ext>
          </a:extLst>
        </xdr:cNvPr>
        <xdr:cNvSpPr/>
      </xdr:nvSpPr>
      <xdr:spPr>
        <a:xfrm>
          <a:off x="6623278" y="168387"/>
          <a:ext cx="1503590" cy="561296"/>
        </a:xfrm>
        <a:prstGeom prst="wedgeRectCallout">
          <a:avLst>
            <a:gd name="adj1" fmla="val 57511"/>
            <a:gd name="adj2" fmla="val -23214"/>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400">
              <a:solidFill>
                <a:sysClr val="windowText" lastClr="000000"/>
              </a:solidFill>
            </a:rPr>
            <a:t>Välj vems perspektiv du vill se kalkylen från.</a:t>
          </a:r>
        </a:p>
      </xdr:txBody>
    </xdr:sp>
    <xdr:clientData/>
  </xdr:twoCellAnchor>
  <xdr:twoCellAnchor editAs="oneCell">
    <xdr:from>
      <xdr:col>3</xdr:col>
      <xdr:colOff>1089022</xdr:colOff>
      <xdr:row>9</xdr:row>
      <xdr:rowOff>163286</xdr:rowOff>
    </xdr:from>
    <xdr:to>
      <xdr:col>6</xdr:col>
      <xdr:colOff>42772</xdr:colOff>
      <xdr:row>15</xdr:row>
      <xdr:rowOff>138014</xdr:rowOff>
    </xdr:to>
    <xdr:sp macro="" textlink="Admin!$R$41">
      <xdr:nvSpPr>
        <xdr:cNvPr id="24" name="Rektangel 23">
          <a:extLst>
            <a:ext uri="{FF2B5EF4-FFF2-40B4-BE49-F238E27FC236}">
              <a16:creationId xmlns:a16="http://schemas.microsoft.com/office/drawing/2014/main" id="{E6B994A5-26B2-493A-9132-AF774609486C}"/>
            </a:ext>
          </a:extLst>
        </xdr:cNvPr>
        <xdr:cNvSpPr>
          <a:spLocks noChangeAspect="1"/>
        </xdr:cNvSpPr>
      </xdr:nvSpPr>
      <xdr:spPr>
        <a:xfrm>
          <a:off x="7518397" y="2782661"/>
          <a:ext cx="3240000" cy="1546353"/>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40 513 120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8</xdr:col>
      <xdr:colOff>1229632</xdr:colOff>
      <xdr:row>9</xdr:row>
      <xdr:rowOff>163286</xdr:rowOff>
    </xdr:from>
    <xdr:to>
      <xdr:col>11</xdr:col>
      <xdr:colOff>1231132</xdr:colOff>
      <xdr:row>15</xdr:row>
      <xdr:rowOff>102872</xdr:rowOff>
    </xdr:to>
    <xdr:sp macro="" textlink="Admin!$L$54">
      <xdr:nvSpPr>
        <xdr:cNvPr id="26" name="Rektangel 25">
          <a:extLst>
            <a:ext uri="{FF2B5EF4-FFF2-40B4-BE49-F238E27FC236}">
              <a16:creationId xmlns:a16="http://schemas.microsoft.com/office/drawing/2014/main" id="{436D27AC-AA88-4E2D-9CC8-AF51D6097CED}"/>
            </a:ext>
          </a:extLst>
        </xdr:cNvPr>
        <xdr:cNvSpPr>
          <a:spLocks noChangeAspect="1"/>
        </xdr:cNvSpPr>
      </xdr:nvSpPr>
      <xdr:spPr>
        <a:xfrm>
          <a:off x="14719413" y="2842192"/>
          <a:ext cx="3228094" cy="1511211"/>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2023</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6</xdr:col>
      <xdr:colOff>407532</xdr:colOff>
      <xdr:row>9</xdr:row>
      <xdr:rowOff>163285</xdr:rowOff>
    </xdr:from>
    <xdr:to>
      <xdr:col>8</xdr:col>
      <xdr:colOff>885282</xdr:colOff>
      <xdr:row>15</xdr:row>
      <xdr:rowOff>118096</xdr:rowOff>
    </xdr:to>
    <xdr:sp macro="" textlink="Admin!$L$74">
      <xdr:nvSpPr>
        <xdr:cNvPr id="42" name="Rektangel 41">
          <a:extLst>
            <a:ext uri="{FF2B5EF4-FFF2-40B4-BE49-F238E27FC236}">
              <a16:creationId xmlns:a16="http://schemas.microsoft.com/office/drawing/2014/main" id="{B08B17D0-15DF-405E-A9ED-B9A61DBBAA3E}"/>
            </a:ext>
          </a:extLst>
        </xdr:cNvPr>
        <xdr:cNvSpPr>
          <a:spLocks noChangeAspect="1"/>
        </xdr:cNvSpPr>
      </xdr:nvSpPr>
      <xdr:spPr>
        <a:xfrm>
          <a:off x="11123157" y="2782660"/>
          <a:ext cx="3240000" cy="1526436"/>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12</xdr:col>
      <xdr:colOff>264884</xdr:colOff>
      <xdr:row>9</xdr:row>
      <xdr:rowOff>163286</xdr:rowOff>
    </xdr:from>
    <xdr:to>
      <xdr:col>14</xdr:col>
      <xdr:colOff>742634</xdr:colOff>
      <xdr:row>12</xdr:row>
      <xdr:rowOff>134671</xdr:rowOff>
    </xdr:to>
    <xdr:sp macro="" textlink="Admin!$R$27">
      <xdr:nvSpPr>
        <xdr:cNvPr id="43" name="Rektangel 42">
          <a:extLst>
            <a:ext uri="{FF2B5EF4-FFF2-40B4-BE49-F238E27FC236}">
              <a16:creationId xmlns:a16="http://schemas.microsoft.com/office/drawing/2014/main" id="{9F148A3D-CD96-45DB-8778-89424520C966}"/>
            </a:ext>
          </a:extLst>
        </xdr:cNvPr>
        <xdr:cNvSpPr>
          <a:spLocks noChangeAspect="1"/>
        </xdr:cNvSpPr>
      </xdr:nvSpPr>
      <xdr:spPr>
        <a:xfrm>
          <a:off x="18362384" y="2782661"/>
          <a:ext cx="3240000" cy="757198"/>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12</xdr:col>
      <xdr:colOff>258534</xdr:colOff>
      <xdr:row>12</xdr:row>
      <xdr:rowOff>133578</xdr:rowOff>
    </xdr:from>
    <xdr:to>
      <xdr:col>14</xdr:col>
      <xdr:colOff>736284</xdr:colOff>
      <xdr:row>15</xdr:row>
      <xdr:rowOff>104964</xdr:rowOff>
    </xdr:to>
    <xdr:sp macro="" textlink="Admin!$R$28">
      <xdr:nvSpPr>
        <xdr:cNvPr id="46" name="Rektangel 45">
          <a:extLst>
            <a:ext uri="{FF2B5EF4-FFF2-40B4-BE49-F238E27FC236}">
              <a16:creationId xmlns:a16="http://schemas.microsoft.com/office/drawing/2014/main" id="{D3C3CFDB-CAF6-457B-9D18-DE9A77A5B326}"/>
            </a:ext>
          </a:extLst>
        </xdr:cNvPr>
        <xdr:cNvSpPr>
          <a:spLocks noChangeAspect="1"/>
        </xdr:cNvSpPr>
      </xdr:nvSpPr>
      <xdr:spPr>
        <a:xfrm>
          <a:off x="18356034" y="3538766"/>
          <a:ext cx="3240000" cy="757198"/>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44 848 615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editAs="oneCell">
    <xdr:from>
      <xdr:col>8</xdr:col>
      <xdr:colOff>1199131</xdr:colOff>
      <xdr:row>133</xdr:row>
      <xdr:rowOff>227922</xdr:rowOff>
    </xdr:from>
    <xdr:to>
      <xdr:col>11</xdr:col>
      <xdr:colOff>1200631</xdr:colOff>
      <xdr:row>140</xdr:row>
      <xdr:rowOff>25135</xdr:rowOff>
    </xdr:to>
    <xdr:sp macro="" textlink="Admin!$AH$50">
      <xdr:nvSpPr>
        <xdr:cNvPr id="47" name="Rektangel 46">
          <a:extLst>
            <a:ext uri="{FF2B5EF4-FFF2-40B4-BE49-F238E27FC236}">
              <a16:creationId xmlns:a16="http://schemas.microsoft.com/office/drawing/2014/main" id="{47B374B7-769C-4303-8F70-EF774ABD3CDC}"/>
            </a:ext>
          </a:extLst>
        </xdr:cNvPr>
        <xdr:cNvSpPr>
          <a:spLocks noChangeAspect="1"/>
        </xdr:cNvSpPr>
      </xdr:nvSpPr>
      <xdr:spPr>
        <a:xfrm>
          <a:off x="14677006" y="31065110"/>
          <a:ext cx="3240000" cy="1464088"/>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xdr:col>
      <xdr:colOff>1082960</xdr:colOff>
      <xdr:row>133</xdr:row>
      <xdr:rowOff>227921</xdr:rowOff>
    </xdr:from>
    <xdr:to>
      <xdr:col>6</xdr:col>
      <xdr:colOff>36710</xdr:colOff>
      <xdr:row>140</xdr:row>
      <xdr:rowOff>60025</xdr:rowOff>
    </xdr:to>
    <xdr:sp macro="" textlink="Admin!$R$37">
      <xdr:nvSpPr>
        <xdr:cNvPr id="48" name="Rektangel 47">
          <a:extLst>
            <a:ext uri="{FF2B5EF4-FFF2-40B4-BE49-F238E27FC236}">
              <a16:creationId xmlns:a16="http://schemas.microsoft.com/office/drawing/2014/main" id="{6132763E-3447-4F1D-8F60-3E117058B46C}"/>
            </a:ext>
          </a:extLst>
        </xdr:cNvPr>
        <xdr:cNvSpPr>
          <a:spLocks noChangeAspect="1"/>
        </xdr:cNvSpPr>
      </xdr:nvSpPr>
      <xdr:spPr>
        <a:xfrm>
          <a:off x="7512335" y="31065109"/>
          <a:ext cx="3240000" cy="1498979"/>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-4 335 494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2</xdr:col>
      <xdr:colOff>3604110</xdr:colOff>
      <xdr:row>133</xdr:row>
      <xdr:rowOff>227921</xdr:rowOff>
    </xdr:from>
    <xdr:to>
      <xdr:col>3</xdr:col>
      <xdr:colOff>748110</xdr:colOff>
      <xdr:row>140</xdr:row>
      <xdr:rowOff>7664</xdr:rowOff>
    </xdr:to>
    <xdr:sp macro="" textlink="Admin!$R$30">
      <xdr:nvSpPr>
        <xdr:cNvPr id="49" name="Rektangel 48">
          <a:extLst>
            <a:ext uri="{FF2B5EF4-FFF2-40B4-BE49-F238E27FC236}">
              <a16:creationId xmlns:a16="http://schemas.microsoft.com/office/drawing/2014/main" id="{5F10A5D0-4450-467E-828B-338CDB72E09B}"/>
            </a:ext>
          </a:extLst>
        </xdr:cNvPr>
        <xdr:cNvSpPr>
          <a:spLocks noChangeAspect="1"/>
        </xdr:cNvSpPr>
      </xdr:nvSpPr>
      <xdr:spPr>
        <a:xfrm>
          <a:off x="3937485" y="31065109"/>
          <a:ext cx="3240000" cy="1446618"/>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-4 335 494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2</xdr:col>
      <xdr:colOff>3745</xdr:colOff>
      <xdr:row>133</xdr:row>
      <xdr:rowOff>227921</xdr:rowOff>
    </xdr:from>
    <xdr:to>
      <xdr:col>2</xdr:col>
      <xdr:colOff>3243745</xdr:colOff>
      <xdr:row>140</xdr:row>
      <xdr:rowOff>1046</xdr:rowOff>
    </xdr:to>
    <xdr:sp macro="" textlink="Admin!$R$27">
      <xdr:nvSpPr>
        <xdr:cNvPr id="50" name="Rektangel 49">
          <a:extLst>
            <a:ext uri="{FF2B5EF4-FFF2-40B4-BE49-F238E27FC236}">
              <a16:creationId xmlns:a16="http://schemas.microsoft.com/office/drawing/2014/main" id="{1B74FE22-B729-4E02-BD00-4FBC6C0DA62C}"/>
            </a:ext>
          </a:extLst>
        </xdr:cNvPr>
        <xdr:cNvSpPr>
          <a:spLocks/>
        </xdr:cNvSpPr>
      </xdr:nvSpPr>
      <xdr:spPr>
        <a:xfrm>
          <a:off x="337120" y="31065109"/>
          <a:ext cx="3240000" cy="1440000"/>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6</xdr:col>
      <xdr:colOff>393332</xdr:colOff>
      <xdr:row>133</xdr:row>
      <xdr:rowOff>227921</xdr:rowOff>
    </xdr:from>
    <xdr:to>
      <xdr:col>8</xdr:col>
      <xdr:colOff>871082</xdr:colOff>
      <xdr:row>140</xdr:row>
      <xdr:rowOff>14448</xdr:rowOff>
    </xdr:to>
    <xdr:sp macro="" textlink="Admin!$L$74">
      <xdr:nvSpPr>
        <xdr:cNvPr id="51" name="Rektangel 50">
          <a:extLst>
            <a:ext uri="{FF2B5EF4-FFF2-40B4-BE49-F238E27FC236}">
              <a16:creationId xmlns:a16="http://schemas.microsoft.com/office/drawing/2014/main" id="{C2AA67D2-6D8B-45A7-8010-3F87D04FE42B}"/>
            </a:ext>
          </a:extLst>
        </xdr:cNvPr>
        <xdr:cNvSpPr>
          <a:spLocks noChangeAspect="1"/>
        </xdr:cNvSpPr>
      </xdr:nvSpPr>
      <xdr:spPr>
        <a:xfrm>
          <a:off x="11108957" y="31065109"/>
          <a:ext cx="3240000" cy="1453402"/>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9</xdr:col>
      <xdr:colOff>625928</xdr:colOff>
      <xdr:row>232</xdr:row>
      <xdr:rowOff>122465</xdr:rowOff>
    </xdr:from>
    <xdr:to>
      <xdr:col>12</xdr:col>
      <xdr:colOff>627428</xdr:colOff>
      <xdr:row>238</xdr:row>
      <xdr:rowOff>164700</xdr:rowOff>
    </xdr:to>
    <xdr:sp macro="" textlink="Admin!$AT$51">
      <xdr:nvSpPr>
        <xdr:cNvPr id="59" name="Rektangel 58">
          <a:extLst>
            <a:ext uri="{FF2B5EF4-FFF2-40B4-BE49-F238E27FC236}">
              <a16:creationId xmlns:a16="http://schemas.microsoft.com/office/drawing/2014/main" id="{E42C415D-3B1D-4C0D-B014-B8379B76759C}"/>
            </a:ext>
          </a:extLst>
        </xdr:cNvPr>
        <xdr:cNvSpPr>
          <a:spLocks noChangeAspect="1"/>
        </xdr:cNvSpPr>
      </xdr:nvSpPr>
      <xdr:spPr>
        <a:xfrm>
          <a:off x="15484928" y="53867278"/>
          <a:ext cx="3240000" cy="147098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2023</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xdr:col>
      <xdr:colOff>81643</xdr:colOff>
      <xdr:row>232</xdr:row>
      <xdr:rowOff>122465</xdr:rowOff>
    </xdr:from>
    <xdr:to>
      <xdr:col>6</xdr:col>
      <xdr:colOff>654643</xdr:colOff>
      <xdr:row>238</xdr:row>
      <xdr:rowOff>201785</xdr:rowOff>
    </xdr:to>
    <xdr:sp macro="" textlink="Admin!$R$39">
      <xdr:nvSpPr>
        <xdr:cNvPr id="60" name="Rektangel 59">
          <a:extLst>
            <a:ext uri="{FF2B5EF4-FFF2-40B4-BE49-F238E27FC236}">
              <a16:creationId xmlns:a16="http://schemas.microsoft.com/office/drawing/2014/main" id="{688AB414-C711-4AB0-9D90-799A38AF0AC7}"/>
            </a:ext>
          </a:extLst>
        </xdr:cNvPr>
        <xdr:cNvSpPr>
          <a:spLocks noChangeAspect="1"/>
        </xdr:cNvSpPr>
      </xdr:nvSpPr>
      <xdr:spPr>
        <a:xfrm>
          <a:off x="8130268" y="53867278"/>
          <a:ext cx="3240000" cy="150807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40 513 120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editAs="oneCell">
    <xdr:from>
      <xdr:col>2</xdr:col>
      <xdr:colOff>3728357</xdr:colOff>
      <xdr:row>232</xdr:row>
      <xdr:rowOff>122465</xdr:rowOff>
    </xdr:from>
    <xdr:to>
      <xdr:col>3</xdr:col>
      <xdr:colOff>872357</xdr:colOff>
      <xdr:row>238</xdr:row>
      <xdr:rowOff>152002</xdr:rowOff>
    </xdr:to>
    <xdr:sp macro="" textlink="Admin!$R$30">
      <xdr:nvSpPr>
        <xdr:cNvPr id="63" name="Rektangel 62">
          <a:extLst>
            <a:ext uri="{FF2B5EF4-FFF2-40B4-BE49-F238E27FC236}">
              <a16:creationId xmlns:a16="http://schemas.microsoft.com/office/drawing/2014/main" id="{DA001179-015C-4FC6-9E9A-4C1F3D47EE7E}"/>
            </a:ext>
          </a:extLst>
        </xdr:cNvPr>
        <xdr:cNvSpPr>
          <a:spLocks noChangeAspect="1"/>
        </xdr:cNvSpPr>
      </xdr:nvSpPr>
      <xdr:spPr>
        <a:xfrm>
          <a:off x="4061732" y="53867278"/>
          <a:ext cx="3240000" cy="1458287"/>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-4 335 494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6</xdr:col>
      <xdr:colOff>1238250</xdr:colOff>
      <xdr:row>232</xdr:row>
      <xdr:rowOff>122465</xdr:rowOff>
    </xdr:from>
    <xdr:to>
      <xdr:col>9</xdr:col>
      <xdr:colOff>334875</xdr:colOff>
      <xdr:row>238</xdr:row>
      <xdr:rowOff>158302</xdr:rowOff>
    </xdr:to>
    <xdr:sp macro="" textlink="Admin!$L$74">
      <xdr:nvSpPr>
        <xdr:cNvPr id="64" name="Rektangel 63">
          <a:extLst>
            <a:ext uri="{FF2B5EF4-FFF2-40B4-BE49-F238E27FC236}">
              <a16:creationId xmlns:a16="http://schemas.microsoft.com/office/drawing/2014/main" id="{EDD17018-1FA6-4752-90E8-5B399680E318}"/>
            </a:ext>
          </a:extLst>
        </xdr:cNvPr>
        <xdr:cNvSpPr>
          <a:spLocks noChangeAspect="1"/>
        </xdr:cNvSpPr>
      </xdr:nvSpPr>
      <xdr:spPr>
        <a:xfrm>
          <a:off x="11953875" y="53867278"/>
          <a:ext cx="3240000" cy="1464587"/>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2</xdr:col>
      <xdr:colOff>0</xdr:colOff>
      <xdr:row>232</xdr:row>
      <xdr:rowOff>122465</xdr:rowOff>
    </xdr:from>
    <xdr:to>
      <xdr:col>2</xdr:col>
      <xdr:colOff>3240000</xdr:colOff>
      <xdr:row>238</xdr:row>
      <xdr:rowOff>133715</xdr:rowOff>
    </xdr:to>
    <xdr:sp macro="" textlink="Admin!$R$28">
      <xdr:nvSpPr>
        <xdr:cNvPr id="65" name="Rektangel 64">
          <a:extLst>
            <a:ext uri="{FF2B5EF4-FFF2-40B4-BE49-F238E27FC236}">
              <a16:creationId xmlns:a16="http://schemas.microsoft.com/office/drawing/2014/main" id="{32A88993-1D8B-475A-B9BC-E19C1F3D6178}"/>
            </a:ext>
          </a:extLst>
        </xdr:cNvPr>
        <xdr:cNvSpPr>
          <a:spLocks/>
        </xdr:cNvSpPr>
      </xdr:nvSpPr>
      <xdr:spPr>
        <a:xfrm>
          <a:off x="333375" y="53867278"/>
          <a:ext cx="3240000" cy="1440000"/>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44 848 615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OMFÖRDELNINGSNYTTA EFTER 6 ÅR (SEK)</a:t>
          </a:r>
          <a:endParaRPr lang="sv-SE" sz="3200" b="0"/>
        </a:p>
      </xdr:txBody>
    </xdr:sp>
    <xdr:clientData/>
  </xdr:twoCellAnchor>
  <xdr:twoCellAnchor editAs="oneCell">
    <xdr:from>
      <xdr:col>2</xdr:col>
      <xdr:colOff>40822</xdr:colOff>
      <xdr:row>9</xdr:row>
      <xdr:rowOff>163286</xdr:rowOff>
    </xdr:from>
    <xdr:to>
      <xdr:col>2</xdr:col>
      <xdr:colOff>3280822</xdr:colOff>
      <xdr:row>15</xdr:row>
      <xdr:rowOff>114556</xdr:rowOff>
    </xdr:to>
    <xdr:sp macro="" textlink="Admin!$N$84">
      <xdr:nvSpPr>
        <xdr:cNvPr id="45" name="Rektangel 44">
          <a:extLst>
            <a:ext uri="{FF2B5EF4-FFF2-40B4-BE49-F238E27FC236}">
              <a16:creationId xmlns:a16="http://schemas.microsoft.com/office/drawing/2014/main" id="{1446D372-7F3A-432E-AC79-4469EA8BBD12}"/>
            </a:ext>
          </a:extLst>
        </xdr:cNvPr>
        <xdr:cNvSpPr>
          <a:spLocks noChangeAspect="1"/>
        </xdr:cNvSpPr>
      </xdr:nvSpPr>
      <xdr:spPr>
        <a:xfrm>
          <a:off x="374197" y="2782661"/>
          <a:ext cx="3240000" cy="152289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44 848 615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xdr:col>
      <xdr:colOff>3578679</xdr:colOff>
      <xdr:row>9</xdr:row>
      <xdr:rowOff>163286</xdr:rowOff>
    </xdr:from>
    <xdr:to>
      <xdr:col>3</xdr:col>
      <xdr:colOff>722679</xdr:colOff>
      <xdr:row>15</xdr:row>
      <xdr:rowOff>126572</xdr:rowOff>
    </xdr:to>
    <xdr:sp macro="" textlink="Admin!$R$30">
      <xdr:nvSpPr>
        <xdr:cNvPr id="61" name="Rektangel 60">
          <a:extLst>
            <a:ext uri="{FF2B5EF4-FFF2-40B4-BE49-F238E27FC236}">
              <a16:creationId xmlns:a16="http://schemas.microsoft.com/office/drawing/2014/main" id="{1F6B501C-448C-4BA7-8DE7-96BCEE12B810}"/>
            </a:ext>
          </a:extLst>
        </xdr:cNvPr>
        <xdr:cNvSpPr>
          <a:spLocks noChangeAspect="1"/>
        </xdr:cNvSpPr>
      </xdr:nvSpPr>
      <xdr:spPr>
        <a:xfrm>
          <a:off x="3912054" y="2782661"/>
          <a:ext cx="3240000" cy="1534911"/>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-4 335 494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2</xdr:col>
      <xdr:colOff>0</xdr:colOff>
      <xdr:row>17</xdr:row>
      <xdr:rowOff>0</xdr:rowOff>
    </xdr:from>
    <xdr:to>
      <xdr:col>3</xdr:col>
      <xdr:colOff>760329</xdr:colOff>
      <xdr:row>36</xdr:row>
      <xdr:rowOff>64457</xdr:rowOff>
    </xdr:to>
    <xdr:graphicFrame macro="">
      <xdr:nvGraphicFramePr>
        <xdr:cNvPr id="62" name="Diagram 61">
          <a:extLst>
            <a:ext uri="{FF2B5EF4-FFF2-40B4-BE49-F238E27FC236}">
              <a16:creationId xmlns:a16="http://schemas.microsoft.com/office/drawing/2014/main" id="{3B0B3685-669D-4B82-AA5C-89906CD93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1107282</xdr:colOff>
      <xdr:row>16</xdr:row>
      <xdr:rowOff>250031</xdr:rowOff>
    </xdr:from>
    <xdr:to>
      <xdr:col>8</xdr:col>
      <xdr:colOff>901163</xdr:colOff>
      <xdr:row>36</xdr:row>
      <xdr:rowOff>52551</xdr:rowOff>
    </xdr:to>
    <xdr:graphicFrame macro="">
      <xdr:nvGraphicFramePr>
        <xdr:cNvPr id="70" name="Diagram 69">
          <a:extLst>
            <a:ext uri="{FF2B5EF4-FFF2-40B4-BE49-F238E27FC236}">
              <a16:creationId xmlns:a16="http://schemas.microsoft.com/office/drawing/2014/main" id="{88F69AEA-C4F0-4861-A5CD-EE34B6561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1309687</xdr:colOff>
      <xdr:row>17</xdr:row>
      <xdr:rowOff>15307</xdr:rowOff>
    </xdr:from>
    <xdr:to>
      <xdr:col>14</xdr:col>
      <xdr:colOff>763729</xdr:colOff>
      <xdr:row>36</xdr:row>
      <xdr:rowOff>79764</xdr:rowOff>
    </xdr:to>
    <xdr:graphicFrame macro="">
      <xdr:nvGraphicFramePr>
        <xdr:cNvPr id="71" name="Diagram 70">
          <a:extLst>
            <a:ext uri="{FF2B5EF4-FFF2-40B4-BE49-F238E27FC236}">
              <a16:creationId xmlns:a16="http://schemas.microsoft.com/office/drawing/2014/main" id="{B783EBE4-A11C-40E8-910F-F7887DFAC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42</xdr:row>
      <xdr:rowOff>0</xdr:rowOff>
    </xdr:from>
    <xdr:to>
      <xdr:col>3</xdr:col>
      <xdr:colOff>760329</xdr:colOff>
      <xdr:row>61</xdr:row>
      <xdr:rowOff>173314</xdr:rowOff>
    </xdr:to>
    <xdr:graphicFrame macro="">
      <xdr:nvGraphicFramePr>
        <xdr:cNvPr id="72" name="Diagram 71">
          <a:extLst>
            <a:ext uri="{FF2B5EF4-FFF2-40B4-BE49-F238E27FC236}">
              <a16:creationId xmlns:a16="http://schemas.microsoft.com/office/drawing/2014/main" id="{0343D49C-057C-455E-88E2-A36DC591E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1119187</xdr:colOff>
      <xdr:row>42</xdr:row>
      <xdr:rowOff>0</xdr:rowOff>
    </xdr:from>
    <xdr:to>
      <xdr:col>8</xdr:col>
      <xdr:colOff>911707</xdr:colOff>
      <xdr:row>61</xdr:row>
      <xdr:rowOff>173314</xdr:rowOff>
    </xdr:to>
    <xdr:graphicFrame macro="">
      <xdr:nvGraphicFramePr>
        <xdr:cNvPr id="73" name="Diagram 72">
          <a:extLst>
            <a:ext uri="{FF2B5EF4-FFF2-40B4-BE49-F238E27FC236}">
              <a16:creationId xmlns:a16="http://schemas.microsoft.com/office/drawing/2014/main" id="{0F4CCA5E-89F7-442C-BE15-C9AD1B532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140</xdr:row>
      <xdr:rowOff>226220</xdr:rowOff>
    </xdr:from>
    <xdr:to>
      <xdr:col>3</xdr:col>
      <xdr:colOff>750804</xdr:colOff>
      <xdr:row>160</xdr:row>
      <xdr:rowOff>236249</xdr:rowOff>
    </xdr:to>
    <xdr:graphicFrame macro="">
      <xdr:nvGraphicFramePr>
        <xdr:cNvPr id="77" name="Diagram 76">
          <a:extLst>
            <a:ext uri="{FF2B5EF4-FFF2-40B4-BE49-F238E27FC236}">
              <a16:creationId xmlns:a16="http://schemas.microsoft.com/office/drawing/2014/main" id="{A6F63627-A97E-43FF-8FC4-845241BEC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1166813</xdr:colOff>
      <xdr:row>140</xdr:row>
      <xdr:rowOff>226220</xdr:rowOff>
    </xdr:from>
    <xdr:to>
      <xdr:col>8</xdr:col>
      <xdr:colOff>954344</xdr:colOff>
      <xdr:row>160</xdr:row>
      <xdr:rowOff>236249</xdr:rowOff>
    </xdr:to>
    <xdr:graphicFrame macro="">
      <xdr:nvGraphicFramePr>
        <xdr:cNvPr id="78" name="Diagram 77">
          <a:extLst>
            <a:ext uri="{FF2B5EF4-FFF2-40B4-BE49-F238E27FC236}">
              <a16:creationId xmlns:a16="http://schemas.microsoft.com/office/drawing/2014/main" id="{EF9D26DA-CD0F-40CE-B65C-3C6887EDC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166</xdr:row>
      <xdr:rowOff>0</xdr:rowOff>
    </xdr:from>
    <xdr:to>
      <xdr:col>3</xdr:col>
      <xdr:colOff>750804</xdr:colOff>
      <xdr:row>186</xdr:row>
      <xdr:rowOff>10028</xdr:rowOff>
    </xdr:to>
    <xdr:graphicFrame macro="">
      <xdr:nvGraphicFramePr>
        <xdr:cNvPr id="79" name="Diagram 78">
          <a:extLst>
            <a:ext uri="{FF2B5EF4-FFF2-40B4-BE49-F238E27FC236}">
              <a16:creationId xmlns:a16="http://schemas.microsoft.com/office/drawing/2014/main" id="{F7A8EBE2-C75D-47BD-8D39-4994DF59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0</xdr:colOff>
      <xdr:row>166</xdr:row>
      <xdr:rowOff>0</xdr:rowOff>
    </xdr:from>
    <xdr:to>
      <xdr:col>9</xdr:col>
      <xdr:colOff>2864</xdr:colOff>
      <xdr:row>186</xdr:row>
      <xdr:rowOff>10028</xdr:rowOff>
    </xdr:to>
    <xdr:graphicFrame macro="">
      <xdr:nvGraphicFramePr>
        <xdr:cNvPr id="80" name="Diagram 79">
          <a:extLst>
            <a:ext uri="{FF2B5EF4-FFF2-40B4-BE49-F238E27FC236}">
              <a16:creationId xmlns:a16="http://schemas.microsoft.com/office/drawing/2014/main" id="{494C52B2-47C7-4478-8DD8-EDA1216F5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240</xdr:row>
      <xdr:rowOff>0</xdr:rowOff>
    </xdr:from>
    <xdr:to>
      <xdr:col>3</xdr:col>
      <xdr:colOff>741279</xdr:colOff>
      <xdr:row>259</xdr:row>
      <xdr:rowOff>173314</xdr:rowOff>
    </xdr:to>
    <xdr:graphicFrame macro="">
      <xdr:nvGraphicFramePr>
        <xdr:cNvPr id="83" name="Diagram 82">
          <a:extLst>
            <a:ext uri="{FF2B5EF4-FFF2-40B4-BE49-F238E27FC236}">
              <a16:creationId xmlns:a16="http://schemas.microsoft.com/office/drawing/2014/main" id="{22BBD503-45DA-4FF5-8603-8AE7A21E7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0</xdr:colOff>
      <xdr:row>240</xdr:row>
      <xdr:rowOff>0</xdr:rowOff>
    </xdr:from>
    <xdr:to>
      <xdr:col>8</xdr:col>
      <xdr:colOff>1377412</xdr:colOff>
      <xdr:row>259</xdr:row>
      <xdr:rowOff>173314</xdr:rowOff>
    </xdr:to>
    <xdr:graphicFrame macro="">
      <xdr:nvGraphicFramePr>
        <xdr:cNvPr id="84" name="Diagram 83">
          <a:extLst>
            <a:ext uri="{FF2B5EF4-FFF2-40B4-BE49-F238E27FC236}">
              <a16:creationId xmlns:a16="http://schemas.microsoft.com/office/drawing/2014/main" id="{6BDA5C4F-4862-42C6-A741-8A38205AE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264</xdr:row>
      <xdr:rowOff>0</xdr:rowOff>
    </xdr:from>
    <xdr:to>
      <xdr:col>3</xdr:col>
      <xdr:colOff>741279</xdr:colOff>
      <xdr:row>283</xdr:row>
      <xdr:rowOff>173315</xdr:rowOff>
    </xdr:to>
    <xdr:graphicFrame macro="">
      <xdr:nvGraphicFramePr>
        <xdr:cNvPr id="85" name="Diagram 84">
          <a:extLst>
            <a:ext uri="{FF2B5EF4-FFF2-40B4-BE49-F238E27FC236}">
              <a16:creationId xmlns:a16="http://schemas.microsoft.com/office/drawing/2014/main" id="{DB357E05-F054-442D-B8C6-63B46D285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xdr:col>
      <xdr:colOff>0</xdr:colOff>
      <xdr:row>264</xdr:row>
      <xdr:rowOff>0</xdr:rowOff>
    </xdr:from>
    <xdr:ext cx="6813920" cy="4741232"/>
    <xdr:graphicFrame macro="">
      <xdr:nvGraphicFramePr>
        <xdr:cNvPr id="86" name="Diagram 85">
          <a:extLst>
            <a:ext uri="{FF2B5EF4-FFF2-40B4-BE49-F238E27FC236}">
              <a16:creationId xmlns:a16="http://schemas.microsoft.com/office/drawing/2014/main" id="{19146C03-D79C-4200-9E99-AA2DD3D3A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xdr:from>
      <xdr:col>2</xdr:col>
      <xdr:colOff>0</xdr:colOff>
      <xdr:row>190</xdr:row>
      <xdr:rowOff>0</xdr:rowOff>
    </xdr:from>
    <xdr:to>
      <xdr:col>2</xdr:col>
      <xdr:colOff>3600000</xdr:colOff>
      <xdr:row>207</xdr:row>
      <xdr:rowOff>28125</xdr:rowOff>
    </xdr:to>
    <xdr:graphicFrame macro="">
      <xdr:nvGraphicFramePr>
        <xdr:cNvPr id="52" name="Diagram 51">
          <a:extLst>
            <a:ext uri="{FF2B5EF4-FFF2-40B4-BE49-F238E27FC236}">
              <a16:creationId xmlns:a16="http://schemas.microsoft.com/office/drawing/2014/main" id="{7ED6A6E7-51CB-4294-8BCF-B6C694FD0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4786313</xdr:colOff>
      <xdr:row>67</xdr:row>
      <xdr:rowOff>71437</xdr:rowOff>
    </xdr:from>
    <xdr:to>
      <xdr:col>4</xdr:col>
      <xdr:colOff>671063</xdr:colOff>
      <xdr:row>82</xdr:row>
      <xdr:rowOff>99562</xdr:rowOff>
    </xdr:to>
    <xdr:graphicFrame macro="">
      <xdr:nvGraphicFramePr>
        <xdr:cNvPr id="54" name="Diagram 53">
          <a:extLst>
            <a:ext uri="{FF2B5EF4-FFF2-40B4-BE49-F238E27FC236}">
              <a16:creationId xmlns:a16="http://schemas.microsoft.com/office/drawing/2014/main" id="{F4A8C95E-F6AE-4BCA-B9D4-C50D75B58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xdr:row>
      <xdr:rowOff>0</xdr:rowOff>
    </xdr:from>
    <xdr:to>
      <xdr:col>2</xdr:col>
      <xdr:colOff>3600000</xdr:colOff>
      <xdr:row>82</xdr:row>
      <xdr:rowOff>28125</xdr:rowOff>
    </xdr:to>
    <xdr:graphicFrame macro="">
      <xdr:nvGraphicFramePr>
        <xdr:cNvPr id="55" name="Diagram 54">
          <a:extLst>
            <a:ext uri="{FF2B5EF4-FFF2-40B4-BE49-F238E27FC236}">
              <a16:creationId xmlns:a16="http://schemas.microsoft.com/office/drawing/2014/main" id="{CF381BEA-BC56-42A7-B68B-C211B527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293</xdr:row>
      <xdr:rowOff>0</xdr:rowOff>
    </xdr:from>
    <xdr:to>
      <xdr:col>2</xdr:col>
      <xdr:colOff>3600000</xdr:colOff>
      <xdr:row>309</xdr:row>
      <xdr:rowOff>147188</xdr:rowOff>
    </xdr:to>
    <xdr:graphicFrame macro="">
      <xdr:nvGraphicFramePr>
        <xdr:cNvPr id="56" name="Diagram 55">
          <a:extLst>
            <a:ext uri="{FF2B5EF4-FFF2-40B4-BE49-F238E27FC236}">
              <a16:creationId xmlns:a16="http://schemas.microsoft.com/office/drawing/2014/main" id="{BB339801-CD27-4228-9725-1537BD9FD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xdr:col>
      <xdr:colOff>140492</xdr:colOff>
      <xdr:row>0</xdr:row>
      <xdr:rowOff>64293</xdr:rowOff>
    </xdr:from>
    <xdr:to>
      <xdr:col>8</xdr:col>
      <xdr:colOff>1191242</xdr:colOff>
      <xdr:row>3</xdr:row>
      <xdr:rowOff>228918</xdr:rowOff>
    </xdr:to>
    <mc:AlternateContent xmlns:mc="http://schemas.openxmlformats.org/markup-compatibility/2006" xmlns:a14="http://schemas.microsoft.com/office/drawing/2010/main">
      <mc:Choice Requires="a14">
        <xdr:graphicFrame macro="">
          <xdr:nvGraphicFramePr>
            <xdr:cNvPr id="3" name="Intressent">
              <a:extLst>
                <a:ext uri="{FF2B5EF4-FFF2-40B4-BE49-F238E27FC236}">
                  <a16:creationId xmlns:a16="http://schemas.microsoft.com/office/drawing/2014/main" id="{42448CFA-382E-4346-9397-2981578A0992}"/>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8189117" y="64293"/>
              <a:ext cx="6491906"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1188243</xdr:colOff>
      <xdr:row>0</xdr:row>
      <xdr:rowOff>76199</xdr:rowOff>
    </xdr:from>
    <xdr:to>
      <xdr:col>14</xdr:col>
      <xdr:colOff>298274</xdr:colOff>
      <xdr:row>3</xdr:row>
      <xdr:rowOff>240824</xdr:rowOff>
    </xdr:to>
    <mc:AlternateContent xmlns:mc="http://schemas.openxmlformats.org/markup-compatibility/2006" xmlns:a14="http://schemas.microsoft.com/office/drawing/2010/main">
      <mc:Choice Requires="a14">
        <xdr:graphicFrame macro="">
          <xdr:nvGraphicFramePr>
            <xdr:cNvPr id="4" name="Intressent 1">
              <a:extLst>
                <a:ext uri="{FF2B5EF4-FFF2-40B4-BE49-F238E27FC236}">
                  <a16:creationId xmlns:a16="http://schemas.microsoft.com/office/drawing/2014/main" id="{0B1E3CC8-3094-4BC4-8E50-F48077A03EA3}"/>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4678024" y="76199"/>
              <a:ext cx="6480000"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1333500</xdr:colOff>
      <xdr:row>42</xdr:row>
      <xdr:rowOff>11906</xdr:rowOff>
    </xdr:from>
    <xdr:to>
      <xdr:col>14</xdr:col>
      <xdr:colOff>808068</xdr:colOff>
      <xdr:row>61</xdr:row>
      <xdr:rowOff>186112</xdr:rowOff>
    </xdr:to>
    <xdr:graphicFrame macro="">
      <xdr:nvGraphicFramePr>
        <xdr:cNvPr id="41" name="Diagram 40">
          <a:extLst>
            <a:ext uri="{FF2B5EF4-FFF2-40B4-BE49-F238E27FC236}">
              <a16:creationId xmlns:a16="http://schemas.microsoft.com/office/drawing/2014/main" id="{F40CD850-4503-48EC-A6AD-AEB25AFC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241038</xdr:colOff>
      <xdr:row>79</xdr:row>
      <xdr:rowOff>32809</xdr:rowOff>
    </xdr:from>
    <xdr:to>
      <xdr:col>24</xdr:col>
      <xdr:colOff>862575</xdr:colOff>
      <xdr:row>97</xdr:row>
      <xdr:rowOff>59166</xdr:rowOff>
    </xdr:to>
    <xdr:graphicFrame macro="">
      <xdr:nvGraphicFramePr>
        <xdr:cNvPr id="2" name="Diagram 1">
          <a:extLst>
            <a:ext uri="{FF2B5EF4-FFF2-40B4-BE49-F238E27FC236}">
              <a16:creationId xmlns:a16="http://schemas.microsoft.com/office/drawing/2014/main" id="{8A267804-DA91-40C2-B1CF-F2F4DBF61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1150937</xdr:colOff>
      <xdr:row>22</xdr:row>
      <xdr:rowOff>202404</xdr:rowOff>
    </xdr:from>
    <xdr:to>
      <xdr:col>24</xdr:col>
      <xdr:colOff>166830</xdr:colOff>
      <xdr:row>40</xdr:row>
      <xdr:rowOff>228761</xdr:rowOff>
    </xdr:to>
    <xdr:graphicFrame macro="">
      <xdr:nvGraphicFramePr>
        <xdr:cNvPr id="4" name="Diagram 3">
          <a:extLst>
            <a:ext uri="{FF2B5EF4-FFF2-40B4-BE49-F238E27FC236}">
              <a16:creationId xmlns:a16="http://schemas.microsoft.com/office/drawing/2014/main" id="{BD06DF81-09A8-4611-B51C-6A256C146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805656</xdr:colOff>
      <xdr:row>22</xdr:row>
      <xdr:rowOff>186529</xdr:rowOff>
    </xdr:from>
    <xdr:to>
      <xdr:col>29</xdr:col>
      <xdr:colOff>746834</xdr:colOff>
      <xdr:row>40</xdr:row>
      <xdr:rowOff>212886</xdr:rowOff>
    </xdr:to>
    <xdr:graphicFrame macro="">
      <xdr:nvGraphicFramePr>
        <xdr:cNvPr id="5" name="Diagram 4">
          <a:extLst>
            <a:ext uri="{FF2B5EF4-FFF2-40B4-BE49-F238E27FC236}">
              <a16:creationId xmlns:a16="http://schemas.microsoft.com/office/drawing/2014/main" id="{7F717728-C121-4954-9A9F-46FC07E9A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354012</xdr:colOff>
      <xdr:row>100</xdr:row>
      <xdr:rowOff>65087</xdr:rowOff>
    </xdr:from>
    <xdr:to>
      <xdr:col>24</xdr:col>
      <xdr:colOff>975549</xdr:colOff>
      <xdr:row>118</xdr:row>
      <xdr:rowOff>91444</xdr:rowOff>
    </xdr:to>
    <xdr:graphicFrame macro="">
      <xdr:nvGraphicFramePr>
        <xdr:cNvPr id="6" name="Diagram 5">
          <a:extLst>
            <a:ext uri="{FF2B5EF4-FFF2-40B4-BE49-F238E27FC236}">
              <a16:creationId xmlns:a16="http://schemas.microsoft.com/office/drawing/2014/main" id="{575B2DE2-29A5-4788-8E79-A858EA4F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261937</xdr:colOff>
      <xdr:row>122</xdr:row>
      <xdr:rowOff>203427</xdr:rowOff>
    </xdr:from>
    <xdr:to>
      <xdr:col>24</xdr:col>
      <xdr:colOff>876670</xdr:colOff>
      <xdr:row>140</xdr:row>
      <xdr:rowOff>229784</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390523</xdr:colOff>
      <xdr:row>46</xdr:row>
      <xdr:rowOff>62706</xdr:rowOff>
    </xdr:from>
    <xdr:to>
      <xdr:col>24</xdr:col>
      <xdr:colOff>475366</xdr:colOff>
      <xdr:row>52</xdr:row>
      <xdr:rowOff>2519</xdr:rowOff>
    </xdr:to>
    <xdr:sp macro="" textlink="Admin!$R$30">
      <xdr:nvSpPr>
        <xdr:cNvPr id="13" name="Rektangel 12">
          <a:extLst>
            <a:ext uri="{FF2B5EF4-FFF2-40B4-BE49-F238E27FC236}">
              <a16:creationId xmlns:a16="http://schemas.microsoft.com/office/drawing/2014/main" id="{855E66CD-F891-4BF1-BD76-ADE45CFE9E72}"/>
            </a:ext>
          </a:extLst>
        </xdr:cNvPr>
        <xdr:cNvSpPr>
          <a:spLocks noChangeAspect="1"/>
        </xdr:cNvSpPr>
      </xdr:nvSpPr>
      <xdr:spPr>
        <a:xfrm>
          <a:off x="48110773" y="12611894"/>
          <a:ext cx="3228093" cy="1487625"/>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-4 335 494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19</xdr:col>
      <xdr:colOff>1569244</xdr:colOff>
      <xdr:row>46</xdr:row>
      <xdr:rowOff>48418</xdr:rowOff>
    </xdr:from>
    <xdr:to>
      <xdr:col>22</xdr:col>
      <xdr:colOff>141994</xdr:colOff>
      <xdr:row>51</xdr:row>
      <xdr:rowOff>226356</xdr:rowOff>
    </xdr:to>
    <xdr:sp macro="" textlink="Admin!$N$84">
      <xdr:nvSpPr>
        <xdr:cNvPr id="17" name="Rektangel 16">
          <a:extLst>
            <a:ext uri="{FF2B5EF4-FFF2-40B4-BE49-F238E27FC236}">
              <a16:creationId xmlns:a16="http://schemas.microsoft.com/office/drawing/2014/main" id="{25F35C43-B30B-40EC-A9D0-F1BC71B18AED}"/>
            </a:ext>
          </a:extLst>
        </xdr:cNvPr>
        <xdr:cNvSpPr>
          <a:spLocks noChangeAspect="1"/>
        </xdr:cNvSpPr>
      </xdr:nvSpPr>
      <xdr:spPr>
        <a:xfrm>
          <a:off x="44634150" y="12597606"/>
          <a:ext cx="3228094" cy="148762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44 848 615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24</xdr:col>
      <xdr:colOff>718343</xdr:colOff>
      <xdr:row>46</xdr:row>
      <xdr:rowOff>75406</xdr:rowOff>
    </xdr:from>
    <xdr:to>
      <xdr:col>26</xdr:col>
      <xdr:colOff>838904</xdr:colOff>
      <xdr:row>52</xdr:row>
      <xdr:rowOff>19981</xdr:rowOff>
    </xdr:to>
    <xdr:sp macro="" textlink="Admin!$R$41">
      <xdr:nvSpPr>
        <xdr:cNvPr id="18" name="Rektangel 17">
          <a:extLst>
            <a:ext uri="{FF2B5EF4-FFF2-40B4-BE49-F238E27FC236}">
              <a16:creationId xmlns:a16="http://schemas.microsoft.com/office/drawing/2014/main" id="{2AC1F339-70F7-45F2-AE48-288992A04A24}"/>
            </a:ext>
          </a:extLst>
        </xdr:cNvPr>
        <xdr:cNvSpPr>
          <a:spLocks noChangeAspect="1"/>
        </xdr:cNvSpPr>
      </xdr:nvSpPr>
      <xdr:spPr>
        <a:xfrm>
          <a:off x="51581843" y="12624594"/>
          <a:ext cx="3228093" cy="15162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40 513 120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24</xdr:col>
      <xdr:colOff>714376</xdr:colOff>
      <xdr:row>52</xdr:row>
      <xdr:rowOff>249238</xdr:rowOff>
    </xdr:from>
    <xdr:to>
      <xdr:col>26</xdr:col>
      <xdr:colOff>846844</xdr:colOff>
      <xdr:row>58</xdr:row>
      <xdr:rowOff>168413</xdr:rowOff>
    </xdr:to>
    <xdr:sp macro="" textlink="Admin!$L$54">
      <xdr:nvSpPr>
        <xdr:cNvPr id="19" name="Rektangel 18">
          <a:extLst>
            <a:ext uri="{FF2B5EF4-FFF2-40B4-BE49-F238E27FC236}">
              <a16:creationId xmlns:a16="http://schemas.microsoft.com/office/drawing/2014/main" id="{EE2FCEF6-57BB-423F-B8C1-759E14B7CE7B}"/>
            </a:ext>
          </a:extLst>
        </xdr:cNvPr>
        <xdr:cNvSpPr>
          <a:spLocks noChangeAspect="1"/>
        </xdr:cNvSpPr>
      </xdr:nvSpPr>
      <xdr:spPr>
        <a:xfrm>
          <a:off x="51577876" y="14370051"/>
          <a:ext cx="3240000"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2023</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22</xdr:col>
      <xdr:colOff>388937</xdr:colOff>
      <xdr:row>52</xdr:row>
      <xdr:rowOff>237332</xdr:rowOff>
    </xdr:from>
    <xdr:to>
      <xdr:col>24</xdr:col>
      <xdr:colOff>473781</xdr:colOff>
      <xdr:row>58</xdr:row>
      <xdr:rowOff>156507</xdr:rowOff>
    </xdr:to>
    <xdr:sp macro="" textlink="Admin!$L$74">
      <xdr:nvSpPr>
        <xdr:cNvPr id="20" name="Rektangel 19">
          <a:extLst>
            <a:ext uri="{FF2B5EF4-FFF2-40B4-BE49-F238E27FC236}">
              <a16:creationId xmlns:a16="http://schemas.microsoft.com/office/drawing/2014/main" id="{AC1CA5C2-01E9-41DE-B24E-B56A486290C5}"/>
            </a:ext>
          </a:extLst>
        </xdr:cNvPr>
        <xdr:cNvSpPr>
          <a:spLocks noChangeAspect="1"/>
        </xdr:cNvSpPr>
      </xdr:nvSpPr>
      <xdr:spPr>
        <a:xfrm>
          <a:off x="48109187" y="14358145"/>
          <a:ext cx="3228094"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19</xdr:col>
      <xdr:colOff>1552576</xdr:colOff>
      <xdr:row>53</xdr:row>
      <xdr:rowOff>26194</xdr:rowOff>
    </xdr:from>
    <xdr:to>
      <xdr:col>22</xdr:col>
      <xdr:colOff>137232</xdr:colOff>
      <xdr:row>56</xdr:row>
      <xdr:rowOff>8006</xdr:rowOff>
    </xdr:to>
    <xdr:sp macro="" textlink="Admin!$R$27">
      <xdr:nvSpPr>
        <xdr:cNvPr id="21" name="Rektangel 20">
          <a:extLst>
            <a:ext uri="{FF2B5EF4-FFF2-40B4-BE49-F238E27FC236}">
              <a16:creationId xmlns:a16="http://schemas.microsoft.com/office/drawing/2014/main" id="{718BB3B9-3FAD-4D8D-9FC6-8126F8921417}"/>
            </a:ext>
          </a:extLst>
        </xdr:cNvPr>
        <xdr:cNvSpPr>
          <a:spLocks noChangeAspect="1"/>
        </xdr:cNvSpPr>
      </xdr:nvSpPr>
      <xdr:spPr>
        <a:xfrm>
          <a:off x="44617482" y="14408944"/>
          <a:ext cx="3240000" cy="743812"/>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19</xdr:col>
      <xdr:colOff>1546226</xdr:colOff>
      <xdr:row>55</xdr:row>
      <xdr:rowOff>250031</xdr:rowOff>
    </xdr:from>
    <xdr:to>
      <xdr:col>22</xdr:col>
      <xdr:colOff>130882</xdr:colOff>
      <xdr:row>58</xdr:row>
      <xdr:rowOff>208031</xdr:rowOff>
    </xdr:to>
    <xdr:sp macro="" textlink="Admin!$R$28">
      <xdr:nvSpPr>
        <xdr:cNvPr id="22" name="Rektangel 21">
          <a:extLst>
            <a:ext uri="{FF2B5EF4-FFF2-40B4-BE49-F238E27FC236}">
              <a16:creationId xmlns:a16="http://schemas.microsoft.com/office/drawing/2014/main" id="{C54A9DD5-D9A2-41A5-9231-1AF324D39C8B}"/>
            </a:ext>
          </a:extLst>
        </xdr:cNvPr>
        <xdr:cNvSpPr>
          <a:spLocks noChangeAspect="1"/>
        </xdr:cNvSpPr>
      </xdr:nvSpPr>
      <xdr:spPr>
        <a:xfrm>
          <a:off x="44611132" y="15156656"/>
          <a:ext cx="3240000" cy="743813"/>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44 848 615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xdr:from>
      <xdr:col>9</xdr:col>
      <xdr:colOff>793750</xdr:colOff>
      <xdr:row>28</xdr:row>
      <xdr:rowOff>0</xdr:rowOff>
    </xdr:from>
    <xdr:to>
      <xdr:col>9</xdr:col>
      <xdr:colOff>2063750</xdr:colOff>
      <xdr:row>31</xdr:row>
      <xdr:rowOff>222250</xdr:rowOff>
    </xdr:to>
    <xdr:sp macro="" textlink="">
      <xdr:nvSpPr>
        <xdr:cNvPr id="25" name="Pil: höger 24">
          <a:extLst>
            <a:ext uri="{FF2B5EF4-FFF2-40B4-BE49-F238E27FC236}">
              <a16:creationId xmlns:a16="http://schemas.microsoft.com/office/drawing/2014/main" id="{E80780AE-2526-4450-BF2D-AE0E01CD9E66}"/>
            </a:ext>
          </a:extLst>
        </xdr:cNvPr>
        <xdr:cNvSpPr/>
      </xdr:nvSpPr>
      <xdr:spPr>
        <a:xfrm>
          <a:off x="19304000" y="76200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12</xdr:col>
      <xdr:colOff>3047999</xdr:colOff>
      <xdr:row>42</xdr:row>
      <xdr:rowOff>73025</xdr:rowOff>
    </xdr:from>
    <xdr:to>
      <xdr:col>13</xdr:col>
      <xdr:colOff>898524</xdr:colOff>
      <xdr:row>47</xdr:row>
      <xdr:rowOff>73025</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34009012" y="11244262"/>
          <a:ext cx="1270000" cy="1343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311150</xdr:colOff>
      <xdr:row>26</xdr:row>
      <xdr:rowOff>152400</xdr:rowOff>
    </xdr:from>
    <xdr:to>
      <xdr:col>19</xdr:col>
      <xdr:colOff>660400</xdr:colOff>
      <xdr:row>30</xdr:row>
      <xdr:rowOff>120650</xdr:rowOff>
    </xdr:to>
    <xdr:sp macro="" textlink="">
      <xdr:nvSpPr>
        <xdr:cNvPr id="27" name="Pil: höger 26">
          <a:extLst>
            <a:ext uri="{FF2B5EF4-FFF2-40B4-BE49-F238E27FC236}">
              <a16:creationId xmlns:a16="http://schemas.microsoft.com/office/drawing/2014/main" id="{0A6B474C-E992-433B-B9AB-B86893D6268B}"/>
            </a:ext>
          </a:extLst>
        </xdr:cNvPr>
        <xdr:cNvSpPr/>
      </xdr:nvSpPr>
      <xdr:spPr>
        <a:xfrm>
          <a:off x="40697150" y="72644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558800</xdr:colOff>
      <xdr:row>47</xdr:row>
      <xdr:rowOff>50800</xdr:rowOff>
    </xdr:from>
    <xdr:to>
      <xdr:col>19</xdr:col>
      <xdr:colOff>908050</xdr:colOff>
      <xdr:row>51</xdr:row>
      <xdr:rowOff>19050</xdr:rowOff>
    </xdr:to>
    <xdr:sp macro="" textlink="">
      <xdr:nvSpPr>
        <xdr:cNvPr id="28" name="Pil: höger 27">
          <a:extLst>
            <a:ext uri="{FF2B5EF4-FFF2-40B4-BE49-F238E27FC236}">
              <a16:creationId xmlns:a16="http://schemas.microsoft.com/office/drawing/2014/main" id="{534DFFA2-72CD-47F7-884E-E5829790D72F}"/>
            </a:ext>
          </a:extLst>
        </xdr:cNvPr>
        <xdr:cNvSpPr/>
      </xdr:nvSpPr>
      <xdr:spPr>
        <a:xfrm>
          <a:off x="40944800" y="124968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311150</xdr:colOff>
      <xdr:row>81</xdr:row>
      <xdr:rowOff>215900</xdr:rowOff>
    </xdr:from>
    <xdr:to>
      <xdr:col>9</xdr:col>
      <xdr:colOff>1581150</xdr:colOff>
      <xdr:row>85</xdr:row>
      <xdr:rowOff>184150</xdr:rowOff>
    </xdr:to>
    <xdr:sp macro="" textlink="">
      <xdr:nvSpPr>
        <xdr:cNvPr id="29" name="Pil: höger 28">
          <a:extLst>
            <a:ext uri="{FF2B5EF4-FFF2-40B4-BE49-F238E27FC236}">
              <a16:creationId xmlns:a16="http://schemas.microsoft.com/office/drawing/2014/main" id="{8A587BFF-372A-4175-8E1A-A421AC37E1E1}"/>
            </a:ext>
          </a:extLst>
        </xdr:cNvPr>
        <xdr:cNvSpPr/>
      </xdr:nvSpPr>
      <xdr:spPr>
        <a:xfrm>
          <a:off x="18821400" y="212979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368300</xdr:colOff>
      <xdr:row>103</xdr:row>
      <xdr:rowOff>82550</xdr:rowOff>
    </xdr:from>
    <xdr:to>
      <xdr:col>9</xdr:col>
      <xdr:colOff>1638300</xdr:colOff>
      <xdr:row>107</xdr:row>
      <xdr:rowOff>50800</xdr:rowOff>
    </xdr:to>
    <xdr:sp macro="" textlink="">
      <xdr:nvSpPr>
        <xdr:cNvPr id="30" name="Pil: höger 29">
          <a:extLst>
            <a:ext uri="{FF2B5EF4-FFF2-40B4-BE49-F238E27FC236}">
              <a16:creationId xmlns:a16="http://schemas.microsoft.com/office/drawing/2014/main" id="{3E24E015-B94A-4A58-B484-A95C2F01D655}"/>
            </a:ext>
          </a:extLst>
        </xdr:cNvPr>
        <xdr:cNvSpPr/>
      </xdr:nvSpPr>
      <xdr:spPr>
        <a:xfrm>
          <a:off x="18878550" y="267525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16</xdr:col>
      <xdr:colOff>1917700</xdr:colOff>
      <xdr:row>104</xdr:row>
      <xdr:rowOff>234950</xdr:rowOff>
    </xdr:from>
    <xdr:to>
      <xdr:col>17</xdr:col>
      <xdr:colOff>1250950</xdr:colOff>
      <xdr:row>108</xdr:row>
      <xdr:rowOff>203200</xdr:rowOff>
    </xdr:to>
    <xdr:sp macro="" textlink="">
      <xdr:nvSpPr>
        <xdr:cNvPr id="31" name="Pil: höger 30">
          <a:extLst>
            <a:ext uri="{FF2B5EF4-FFF2-40B4-BE49-F238E27FC236}">
              <a16:creationId xmlns:a16="http://schemas.microsoft.com/office/drawing/2014/main" id="{10E58DDA-2698-4B4E-AA78-5D5E518AADB8}"/>
            </a:ext>
          </a:extLst>
        </xdr:cNvPr>
        <xdr:cNvSpPr/>
      </xdr:nvSpPr>
      <xdr:spPr>
        <a:xfrm>
          <a:off x="37160200" y="271589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6350</xdr:colOff>
      <xdr:row>83</xdr:row>
      <xdr:rowOff>69850</xdr:rowOff>
    </xdr:from>
    <xdr:to>
      <xdr:col>17</xdr:col>
      <xdr:colOff>1276350</xdr:colOff>
      <xdr:row>87</xdr:row>
      <xdr:rowOff>38100</xdr:rowOff>
    </xdr:to>
    <xdr:sp macro="" textlink="">
      <xdr:nvSpPr>
        <xdr:cNvPr id="32" name="Pil: höger 31">
          <a:extLst>
            <a:ext uri="{FF2B5EF4-FFF2-40B4-BE49-F238E27FC236}">
              <a16:creationId xmlns:a16="http://schemas.microsoft.com/office/drawing/2014/main" id="{DA671341-18B6-4981-9542-0D6FEAB44F3D}"/>
            </a:ext>
          </a:extLst>
        </xdr:cNvPr>
        <xdr:cNvSpPr/>
      </xdr:nvSpPr>
      <xdr:spPr>
        <a:xfrm>
          <a:off x="37185600" y="216598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768350</xdr:colOff>
      <xdr:row>174</xdr:row>
      <xdr:rowOff>152400</xdr:rowOff>
    </xdr:from>
    <xdr:to>
      <xdr:col>15</xdr:col>
      <xdr:colOff>152400</xdr:colOff>
      <xdr:row>178</xdr:row>
      <xdr:rowOff>120650</xdr:rowOff>
    </xdr:to>
    <xdr:sp macro="" textlink="">
      <xdr:nvSpPr>
        <xdr:cNvPr id="34" name="Pil: höger 33">
          <a:extLst>
            <a:ext uri="{FF2B5EF4-FFF2-40B4-BE49-F238E27FC236}">
              <a16:creationId xmlns:a16="http://schemas.microsoft.com/office/drawing/2014/main" id="{867AD2E3-1CA7-4373-8088-EA03F4C9A9EA}"/>
            </a:ext>
          </a:extLst>
        </xdr:cNvPr>
        <xdr:cNvSpPr/>
      </xdr:nvSpPr>
      <xdr:spPr>
        <a:xfrm>
          <a:off x="35191700" y="47053500"/>
          <a:ext cx="1270000" cy="1035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400050</xdr:colOff>
      <xdr:row>189</xdr:row>
      <xdr:rowOff>241300</xdr:rowOff>
    </xdr:from>
    <xdr:to>
      <xdr:col>14</xdr:col>
      <xdr:colOff>1670050</xdr:colOff>
      <xdr:row>193</xdr:row>
      <xdr:rowOff>209550</xdr:rowOff>
    </xdr:to>
    <xdr:sp macro="" textlink="">
      <xdr:nvSpPr>
        <xdr:cNvPr id="35" name="Pil: höger 34">
          <a:extLst>
            <a:ext uri="{FF2B5EF4-FFF2-40B4-BE49-F238E27FC236}">
              <a16:creationId xmlns:a16="http://schemas.microsoft.com/office/drawing/2014/main" id="{282FDE88-E0B7-4086-AAE1-E2E866467802}"/>
            </a:ext>
          </a:extLst>
        </xdr:cNvPr>
        <xdr:cNvSpPr/>
      </xdr:nvSpPr>
      <xdr:spPr>
        <a:xfrm>
          <a:off x="31927800" y="492633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0</xdr:colOff>
      <xdr:row>127</xdr:row>
      <xdr:rowOff>0</xdr:rowOff>
    </xdr:from>
    <xdr:to>
      <xdr:col>17</xdr:col>
      <xdr:colOff>1262062</xdr:colOff>
      <xdr:row>130</xdr:row>
      <xdr:rowOff>230187</xdr:rowOff>
    </xdr:to>
    <xdr:sp macro="" textlink="">
      <xdr:nvSpPr>
        <xdr:cNvPr id="37" name="Pil: höger 36">
          <a:extLst>
            <a:ext uri="{FF2B5EF4-FFF2-40B4-BE49-F238E27FC236}">
              <a16:creationId xmlns:a16="http://schemas.microsoft.com/office/drawing/2014/main" id="{53976CFF-D481-46C8-B9E4-F674275EA307}"/>
            </a:ext>
          </a:extLst>
        </xdr:cNvPr>
        <xdr:cNvSpPr/>
      </xdr:nvSpPr>
      <xdr:spPr>
        <a:xfrm>
          <a:off x="34528125" y="33766125"/>
          <a:ext cx="1262062" cy="1016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31</xdr:col>
      <xdr:colOff>555625</xdr:colOff>
      <xdr:row>22</xdr:row>
      <xdr:rowOff>158750</xdr:rowOff>
    </xdr:from>
    <xdr:to>
      <xdr:col>34</xdr:col>
      <xdr:colOff>1174894</xdr:colOff>
      <xdr:row>40</xdr:row>
      <xdr:rowOff>185107</xdr:rowOff>
    </xdr:to>
    <xdr:graphicFrame macro="">
      <xdr:nvGraphicFramePr>
        <xdr:cNvPr id="38" name="Diagram 37">
          <a:extLst>
            <a:ext uri="{FF2B5EF4-FFF2-40B4-BE49-F238E27FC236}">
              <a16:creationId xmlns:a16="http://schemas.microsoft.com/office/drawing/2014/main" id="{2E7155A4-E2E9-4226-8CFC-F6C994367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698500</xdr:colOff>
      <xdr:row>79</xdr:row>
      <xdr:rowOff>15875</xdr:rowOff>
    </xdr:from>
    <xdr:to>
      <xdr:col>34</xdr:col>
      <xdr:colOff>1320037</xdr:colOff>
      <xdr:row>97</xdr:row>
      <xdr:rowOff>42232</xdr:rowOff>
    </xdr:to>
    <xdr:graphicFrame macro="">
      <xdr:nvGraphicFramePr>
        <xdr:cNvPr id="45" name="Diagram 44">
          <a:extLst>
            <a:ext uri="{FF2B5EF4-FFF2-40B4-BE49-F238E27FC236}">
              <a16:creationId xmlns:a16="http://schemas.microsoft.com/office/drawing/2014/main" id="{F266914E-130B-433C-BED1-E161AC6B8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31</xdr:col>
      <xdr:colOff>952500</xdr:colOff>
      <xdr:row>99</xdr:row>
      <xdr:rowOff>111125</xdr:rowOff>
    </xdr:from>
    <xdr:to>
      <xdr:col>34</xdr:col>
      <xdr:colOff>1574037</xdr:colOff>
      <xdr:row>117</xdr:row>
      <xdr:rowOff>137482</xdr:rowOff>
    </xdr:to>
    <xdr:graphicFrame macro="">
      <xdr:nvGraphicFramePr>
        <xdr:cNvPr id="46" name="Diagram 45">
          <a:extLst>
            <a:ext uri="{FF2B5EF4-FFF2-40B4-BE49-F238E27FC236}">
              <a16:creationId xmlns:a16="http://schemas.microsoft.com/office/drawing/2014/main" id="{29F1907D-C2D0-46B1-A0A6-EB66D2365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35</xdr:col>
      <xdr:colOff>523875</xdr:colOff>
      <xdr:row>121</xdr:row>
      <xdr:rowOff>79375</xdr:rowOff>
    </xdr:from>
    <xdr:to>
      <xdr:col>41</xdr:col>
      <xdr:colOff>970332</xdr:colOff>
      <xdr:row>139</xdr:row>
      <xdr:rowOff>105732</xdr:rowOff>
    </xdr:to>
    <xdr:graphicFrame macro="">
      <xdr:nvGraphicFramePr>
        <xdr:cNvPr id="47" name="Diagram 46">
          <a:extLst>
            <a:ext uri="{FF2B5EF4-FFF2-40B4-BE49-F238E27FC236}">
              <a16:creationId xmlns:a16="http://schemas.microsoft.com/office/drawing/2014/main" id="{A5CE01B7-E60F-4930-80D6-5E6A1BF8A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43</xdr:col>
      <xdr:colOff>333375</xdr:colOff>
      <xdr:row>22</xdr:row>
      <xdr:rowOff>47625</xdr:rowOff>
    </xdr:from>
    <xdr:to>
      <xdr:col>46</xdr:col>
      <xdr:colOff>1011380</xdr:colOff>
      <xdr:row>40</xdr:row>
      <xdr:rowOff>73982</xdr:rowOff>
    </xdr:to>
    <xdr:graphicFrame macro="">
      <xdr:nvGraphicFramePr>
        <xdr:cNvPr id="57" name="Diagram 56">
          <a:extLst>
            <a:ext uri="{FF2B5EF4-FFF2-40B4-BE49-F238E27FC236}">
              <a16:creationId xmlns:a16="http://schemas.microsoft.com/office/drawing/2014/main" id="{29D0756C-DC57-4C41-826B-82A3523B5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43</xdr:col>
      <xdr:colOff>571500</xdr:colOff>
      <xdr:row>78</xdr:row>
      <xdr:rowOff>190500</xdr:rowOff>
    </xdr:from>
    <xdr:to>
      <xdr:col>46</xdr:col>
      <xdr:colOff>1259711</xdr:colOff>
      <xdr:row>96</xdr:row>
      <xdr:rowOff>216857</xdr:rowOff>
    </xdr:to>
    <xdr:graphicFrame macro="">
      <xdr:nvGraphicFramePr>
        <xdr:cNvPr id="58" name="Diagram 57">
          <a:extLst>
            <a:ext uri="{FF2B5EF4-FFF2-40B4-BE49-F238E27FC236}">
              <a16:creationId xmlns:a16="http://schemas.microsoft.com/office/drawing/2014/main" id="{42146596-51D5-420E-BAA3-F1BE45465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43</xdr:col>
      <xdr:colOff>571500</xdr:colOff>
      <xdr:row>97</xdr:row>
      <xdr:rowOff>190500</xdr:rowOff>
    </xdr:from>
    <xdr:to>
      <xdr:col>46</xdr:col>
      <xdr:colOff>1259711</xdr:colOff>
      <xdr:row>115</xdr:row>
      <xdr:rowOff>216857</xdr:rowOff>
    </xdr:to>
    <xdr:graphicFrame macro="">
      <xdr:nvGraphicFramePr>
        <xdr:cNvPr id="59" name="Diagram 58">
          <a:extLst>
            <a:ext uri="{FF2B5EF4-FFF2-40B4-BE49-F238E27FC236}">
              <a16:creationId xmlns:a16="http://schemas.microsoft.com/office/drawing/2014/main" id="{F0787F9E-559E-4EF2-880E-37B275074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47</xdr:col>
      <xdr:colOff>523875</xdr:colOff>
      <xdr:row>121</xdr:row>
      <xdr:rowOff>79375</xdr:rowOff>
    </xdr:from>
    <xdr:ext cx="6813920" cy="4741232"/>
    <xdr:graphicFrame macro="">
      <xdr:nvGraphicFramePr>
        <xdr:cNvPr id="61" name="Diagram 60">
          <a:extLst>
            <a:ext uri="{FF2B5EF4-FFF2-40B4-BE49-F238E27FC236}">
              <a16:creationId xmlns:a16="http://schemas.microsoft.com/office/drawing/2014/main" id="{BE265D44-FB82-4185-9F9E-E426BA01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editAs="oneCell">
    <xdr:from>
      <xdr:col>32</xdr:col>
      <xdr:colOff>0</xdr:colOff>
      <xdr:row>52</xdr:row>
      <xdr:rowOff>0</xdr:rowOff>
    </xdr:from>
    <xdr:to>
      <xdr:col>33</xdr:col>
      <xdr:colOff>1485019</xdr:colOff>
      <xdr:row>57</xdr:row>
      <xdr:rowOff>185875</xdr:rowOff>
    </xdr:to>
    <xdr:sp macro="" textlink="Admin!$AH$50">
      <xdr:nvSpPr>
        <xdr:cNvPr id="52" name="Rektangel 51">
          <a:extLst>
            <a:ext uri="{FF2B5EF4-FFF2-40B4-BE49-F238E27FC236}">
              <a16:creationId xmlns:a16="http://schemas.microsoft.com/office/drawing/2014/main" id="{E3279823-AA5B-4900-B9AD-027E5966C74B}"/>
            </a:ext>
          </a:extLst>
        </xdr:cNvPr>
        <xdr:cNvSpPr>
          <a:spLocks noChangeAspect="1"/>
        </xdr:cNvSpPr>
      </xdr:nvSpPr>
      <xdr:spPr>
        <a:xfrm>
          <a:off x="57931050" y="143637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33</xdr:col>
      <xdr:colOff>2228850</xdr:colOff>
      <xdr:row>52</xdr:row>
      <xdr:rowOff>0</xdr:rowOff>
    </xdr:from>
    <xdr:to>
      <xdr:col>35</xdr:col>
      <xdr:colOff>977812</xdr:colOff>
      <xdr:row>57</xdr:row>
      <xdr:rowOff>211275</xdr:rowOff>
    </xdr:to>
    <xdr:sp macro="" textlink="Admin!$R$37">
      <xdr:nvSpPr>
        <xdr:cNvPr id="55" name="Rektangel 54">
          <a:extLst>
            <a:ext uri="{FF2B5EF4-FFF2-40B4-BE49-F238E27FC236}">
              <a16:creationId xmlns:a16="http://schemas.microsoft.com/office/drawing/2014/main" id="{BBE650A6-527B-4259-A6A8-D032A32DA0B3}"/>
            </a:ext>
          </a:extLst>
        </xdr:cNvPr>
        <xdr:cNvSpPr>
          <a:spLocks noChangeAspect="1"/>
        </xdr:cNvSpPr>
      </xdr:nvSpPr>
      <xdr:spPr>
        <a:xfrm>
          <a:off x="62122050" y="1436370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-4 335 494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44</xdr:col>
      <xdr:colOff>0</xdr:colOff>
      <xdr:row>54</xdr:row>
      <xdr:rowOff>0</xdr:rowOff>
    </xdr:from>
    <xdr:to>
      <xdr:col>45</xdr:col>
      <xdr:colOff>1485018</xdr:colOff>
      <xdr:row>59</xdr:row>
      <xdr:rowOff>185875</xdr:rowOff>
    </xdr:to>
    <xdr:sp macro="" textlink="Admin!$AT$51">
      <xdr:nvSpPr>
        <xdr:cNvPr id="64" name="Rektangel 63">
          <a:extLst>
            <a:ext uri="{FF2B5EF4-FFF2-40B4-BE49-F238E27FC236}">
              <a16:creationId xmlns:a16="http://schemas.microsoft.com/office/drawing/2014/main" id="{ECEA2E39-6A12-49E0-8C5D-78997A705EC0}"/>
            </a:ext>
          </a:extLst>
        </xdr:cNvPr>
        <xdr:cNvSpPr>
          <a:spLocks noChangeAspect="1"/>
        </xdr:cNvSpPr>
      </xdr:nvSpPr>
      <xdr:spPr>
        <a:xfrm>
          <a:off x="73799700" y="148971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2023</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45</xdr:col>
      <xdr:colOff>1962150</xdr:colOff>
      <xdr:row>53</xdr:row>
      <xdr:rowOff>247650</xdr:rowOff>
    </xdr:from>
    <xdr:to>
      <xdr:col>46</xdr:col>
      <xdr:colOff>2425613</xdr:colOff>
      <xdr:row>59</xdr:row>
      <xdr:rowOff>192225</xdr:rowOff>
    </xdr:to>
    <xdr:sp macro="" textlink="Admin!$R$39">
      <xdr:nvSpPr>
        <xdr:cNvPr id="65" name="Rektangel 64">
          <a:extLst>
            <a:ext uri="{FF2B5EF4-FFF2-40B4-BE49-F238E27FC236}">
              <a16:creationId xmlns:a16="http://schemas.microsoft.com/office/drawing/2014/main" id="{BE93AA6B-145C-4A59-B152-010136B8F42D}"/>
            </a:ext>
          </a:extLst>
        </xdr:cNvPr>
        <xdr:cNvSpPr>
          <a:spLocks noChangeAspect="1"/>
        </xdr:cNvSpPr>
      </xdr:nvSpPr>
      <xdr:spPr>
        <a:xfrm>
          <a:off x="79743300" y="1487805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40 513 120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xdr:from>
      <xdr:col>15</xdr:col>
      <xdr:colOff>952500</xdr:colOff>
      <xdr:row>164</xdr:row>
      <xdr:rowOff>57150</xdr:rowOff>
    </xdr:from>
    <xdr:to>
      <xdr:col>17</xdr:col>
      <xdr:colOff>666300</xdr:colOff>
      <xdr:row>177</xdr:row>
      <xdr:rowOff>190050</xdr:rowOff>
    </xdr:to>
    <xdr:graphicFrame macro="">
      <xdr:nvGraphicFramePr>
        <xdr:cNvPr id="3" name="Diagram 2">
          <a:extLst>
            <a:ext uri="{FF2B5EF4-FFF2-40B4-BE49-F238E27FC236}">
              <a16:creationId xmlns:a16="http://schemas.microsoft.com/office/drawing/2014/main" id="{7E24355F-88B6-4086-A0D5-3E74474DD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590550</xdr:colOff>
      <xdr:row>188</xdr:row>
      <xdr:rowOff>0</xdr:rowOff>
    </xdr:from>
    <xdr:to>
      <xdr:col>17</xdr:col>
      <xdr:colOff>304350</xdr:colOff>
      <xdr:row>201</xdr:row>
      <xdr:rowOff>132900</xdr:rowOff>
    </xdr:to>
    <xdr:graphicFrame macro="">
      <xdr:nvGraphicFramePr>
        <xdr:cNvPr id="12" name="Diagram 11">
          <a:extLst>
            <a:ext uri="{FF2B5EF4-FFF2-40B4-BE49-F238E27FC236}">
              <a16:creationId xmlns:a16="http://schemas.microsoft.com/office/drawing/2014/main" id="{E5EAD765-2DC6-4193-9326-D003454F9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152400</xdr:colOff>
      <xdr:row>172</xdr:row>
      <xdr:rowOff>76200</xdr:rowOff>
    </xdr:from>
    <xdr:to>
      <xdr:col>38</xdr:col>
      <xdr:colOff>552000</xdr:colOff>
      <xdr:row>185</xdr:row>
      <xdr:rowOff>209100</xdr:rowOff>
    </xdr:to>
    <xdr:graphicFrame macro="">
      <xdr:nvGraphicFramePr>
        <xdr:cNvPr id="14" name="Diagram 13">
          <a:extLst>
            <a:ext uri="{FF2B5EF4-FFF2-40B4-BE49-F238E27FC236}">
              <a16:creationId xmlns:a16="http://schemas.microsoft.com/office/drawing/2014/main" id="{1CF464DE-D070-4FD3-A849-8558FB7B1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1657350</xdr:colOff>
      <xdr:row>169</xdr:row>
      <xdr:rowOff>57150</xdr:rowOff>
    </xdr:from>
    <xdr:to>
      <xdr:col>47</xdr:col>
      <xdr:colOff>2533200</xdr:colOff>
      <xdr:row>182</xdr:row>
      <xdr:rowOff>190050</xdr:rowOff>
    </xdr:to>
    <xdr:graphicFrame macro="">
      <xdr:nvGraphicFramePr>
        <xdr:cNvPr id="15" name="Diagram 14">
          <a:extLst>
            <a:ext uri="{FF2B5EF4-FFF2-40B4-BE49-F238E27FC236}">
              <a16:creationId xmlns:a16="http://schemas.microsoft.com/office/drawing/2014/main" id="{2FBECC68-FC15-4743-A78E-E16D0CC42C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20</xdr:col>
      <xdr:colOff>15875</xdr:colOff>
      <xdr:row>143</xdr:row>
      <xdr:rowOff>47625</xdr:rowOff>
    </xdr:from>
    <xdr:to>
      <xdr:col>24</xdr:col>
      <xdr:colOff>637412</xdr:colOff>
      <xdr:row>162</xdr:row>
      <xdr:rowOff>146425</xdr:rowOff>
    </xdr:to>
    <xdr:graphicFrame macro="">
      <xdr:nvGraphicFramePr>
        <xdr:cNvPr id="42" name="Diagram 41">
          <a:extLst>
            <a:ext uri="{FF2B5EF4-FFF2-40B4-BE49-F238E27FC236}">
              <a16:creationId xmlns:a16="http://schemas.microsoft.com/office/drawing/2014/main" id="{5B615143-D8D8-4073-96FE-1C8060A67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54398148" backgroundQuery="1" createdVersion="6" refreshedVersion="7" minRefreshableVersion="3" recordCount="0" supportSubquery="1" supportAdvancedDrill="1" xr:uid="{B1E6F9B5-6ECB-4BC3-B03F-78CDE487C7DC}">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Ökad tillgänglighet hos 1177"/>
      </sharedItems>
    </cacheField>
    <cacheField name="[Measures].[Summan av Summa trolig]" caption="Summan av Summa trolig" numFmtId="0" hierarchy="59" level="32767"/>
    <cacheField name="[Nyttor].[Intressent].[Intressent]" caption="Intressent" numFmtId="0" hierarchy="30" level="1">
      <sharedItems count="1">
        <s v="Regioner"/>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65972224" backgroundQuery="1" createdVersion="6" refreshedVersion="7" minRefreshableVersion="3" recordCount="0" supportSubquery="1" supportAdvancedDrill="1" xr:uid="{A6DA20AE-8310-4544-9898-A6D1306D59C9}">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er"/>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6736111" backgroundQuery="1" createdVersion="6" refreshedVersion="7" minRefreshableVersion="3" recordCount="0" supportSubquery="1" supportAdvancedDrill="1" xr:uid="{929DEEA0-3D40-4CC7-A39B-110702B54029}">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Omfördelningsnytta"/>
        <s v="Finansiell nytta" u="1"/>
      </sharedItems>
    </cacheField>
    <cacheField name="[Measures].[Summan av Troligt år 1]" caption="Summan av Troligt år 1" numFmtId="0" hierarchy="61" level="32767"/>
    <cacheField name="[Measures].[Summan av Troligt år 2]" caption="Summan av Troligt år 2" numFmtId="0" hierarchy="62" level="32767"/>
    <cacheField name="[Measures].[Summan av Troligt år 3]" caption="Summan av Troligt år 3" numFmtId="0" hierarchy="63" level="32767"/>
    <cacheField name="[Measures].[Summan av Troligt år 4]" caption="Summan av Troligt år 4" numFmtId="0" hierarchy="64" level="32767"/>
    <cacheField name="[Measures].[Summan av Troligt år 5]" caption="Summan av Troligt år 5" numFmtId="0" hierarchy="65" level="32767"/>
    <cacheField name="[Measures].[Summan av Troligt år 6]" caption="Summan av Troligt år 6" numFmtId="0" hierarchy="6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oneField="1" hidden="1">
      <fieldsUsage count="1">
        <fieldUsage x="2"/>
      </fieldsUsage>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oneField="1" hidden="1">
      <fieldsUsage count="1">
        <fieldUsage x="4"/>
      </fieldsUsage>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oneField="1" hidden="1">
      <fieldsUsage count="1">
        <fieldUsage x="5"/>
      </fieldsUsage>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oneField="1" hidden="1">
      <fieldsUsage count="1">
        <fieldUsage x="6"/>
      </fieldsUsage>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oneField="1" hidden="1">
      <fieldsUsage count="1">
        <fieldUsage x="7"/>
      </fieldsUsage>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68518518" backgroundQuery="1" createdVersion="6" refreshedVersion="7" minRefreshableVersion="3" recordCount="0" supportSubquery="1" supportAdvancedDrill="1" xr:uid="{C5D2A83D-4749-4437-88DB-03230AA82AA6}">
  <cacheSource type="external" connectionId="1"/>
  <cacheFields count="9">
    <cacheField name="[Kostnadskategori].[Kostnadskategori].[Kostnadskategori]" caption="Kostnadskategori" numFmtId="0" hierarchy="26" level="1">
      <sharedItems count="4">
        <s v="Investeringar"/>
        <s v="Löpande verksamhetskostnader"/>
        <s v="Verksamhetsförändring" u="1"/>
        <s v="Projekt" u="1"/>
      </sharedItems>
    </cacheField>
    <cacheField name="[Measures].[Summan av Trolig år 1]" caption="Summan av Trolig år 1" numFmtId="0" hierarchy="67" level="32767"/>
    <cacheField name="[Measures].[Summan av Trolig år 2]" caption="Summan av Trolig år 2" numFmtId="0" hierarchy="68" level="32767"/>
    <cacheField name="[Measures].[Summan av Trolig år 3]" caption="Summan av Trolig år 3" numFmtId="0" hierarchy="69" level="32767"/>
    <cacheField name="[Measures].[Summan av Trolig år 4]" caption="Summan av Trolig år 4" numFmtId="0" hierarchy="70" level="32767"/>
    <cacheField name="[Measures].[Summan av Trolig år 5]" caption="Summan av Trolig år 5" numFmtId="0" hierarchy="71" level="32767"/>
    <cacheField name="[Measures].[Summan av Trolig år 6]" caption="Summan av Trolig år 6" numFmtId="0" hierarchy="7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oneField="1" hidden="1">
      <fieldsUsage count="1">
        <fieldUsage x="1"/>
      </fieldsUsage>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oneField="1" hidden="1">
      <fieldsUsage count="1">
        <fieldUsage x="2"/>
      </fieldsUsage>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oneField="1" hidden="1">
      <fieldsUsage count="1">
        <fieldUsage x="3"/>
      </fieldsUsage>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oneField="1" hidden="1">
      <fieldsUsage count="1">
        <fieldUsage x="4"/>
      </fieldsUsage>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oneField="1" hidden="1">
      <fieldsUsage count="1">
        <fieldUsage x="5"/>
      </fieldsUsage>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oneField="1" hidden="1">
      <fieldsUsage count="1">
        <fieldUsage x="6"/>
      </fieldsUsage>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69791666" backgroundQuery="1" createdVersion="6" refreshedVersion="7" minRefreshableVersion="3" recordCount="0" supportSubquery="1" supportAdvancedDrill="1" xr:uid="{03F92C8F-9AE9-4241-AB29-36363566B37F}">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Finansiell"/>
      </sharedItems>
    </cacheField>
    <cacheField name="[Measures].[Summan av Summa trolig]" caption="Summan av Summa trolig" numFmtId="0" hierarchy="59" level="32767"/>
    <cacheField name="[Nyttor].[Intressent].[Intressent]" caption="Intressent" numFmtId="0" hierarchy="30" level="1">
      <sharedItems count="1">
        <s v="Kommune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71180559" backgroundQuery="1" createdVersion="6" refreshedVersion="7" minRefreshableVersion="3" recordCount="0" supportSubquery="1" supportAdvancedDrill="1" xr:uid="{860D0C3B-91E9-4664-9B19-B4A75DD723E2}">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Ökad tillgänglighet hos 1177"/>
      </sharedItems>
    </cacheField>
    <cacheField name="[Measures].[Summan av Summa trolig]" caption="Summan av Summa trolig" numFmtId="0" hierarchy="59" level="32767"/>
    <cacheField name="[Nyttor].[Intressent].[Intressent]" caption="Intressent" numFmtId="0" hierarchy="30" level="1">
      <sharedItems count="1">
        <s v="Regioner"/>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72453706" backgroundQuery="1" createdVersion="6" refreshedVersion="7" minRefreshableVersion="3" recordCount="0" supportSubquery="1" supportAdvancedDrill="1" xr:uid="{B17574A2-0990-4F09-B799-A6469D757A6D}">
  <cacheSource type="external" connectionId="1"/>
  <cacheFields count="6">
    <cacheField name="[Nyttokategori].[Nyttokategori].[Nyttokategori]" caption="Nyttokategori" numFmtId="0" hierarchy="27" level="1">
      <sharedItems containsSemiMixedTypes="0" containsNonDate="0" containsString="0"/>
    </cacheField>
    <cacheField name="[Kostnadskategori].[Kostnadskategori].[Kostnadskategori]" caption="Kostnadskategori" numFmtId="0" hierarchy="26" level="1">
      <sharedItems containsSemiMixedTypes="0" containsNonDate="0" containsString="0"/>
    </cacheField>
    <cacheField name="[Kostnader].[Kostnadens namn].[Kostnadens namn]" caption="Kostnadens namn" numFmtId="0" hierarchy="1" level="1">
      <sharedItems count="4">
        <s v="Drift och förvaltning"/>
        <s v="Kostnad för användning"/>
        <s v="Regionernas interna kostnader"/>
        <s v="Utveckling"/>
      </sharedItems>
    </cacheField>
    <cacheField name="[Measures].[Summan av Summa trolig 2]" caption="Summan av Summa trolig 2" numFmtId="0" hierarchy="60" level="32767"/>
    <cacheField name="[Kostnader].[Intressent].[Intressent]" caption="Intressent" numFmtId="0" hierarchy="2" level="1">
      <sharedItems count="1">
        <s v="Regioner"/>
      </sharedItems>
    </cacheField>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2" memberValueDatatype="130" unbalanced="0">
      <fieldsUsage count="2">
        <fieldUsage x="-1"/>
        <fieldUsage x="2"/>
      </fieldsUsage>
    </cacheHierarchy>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1"/>
      </fieldsUsage>
    </cacheHierarchy>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3"/>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73726853" backgroundQuery="1" createdVersion="6" refreshedVersion="7" minRefreshableVersion="3" recordCount="0" supportSubquery="1" supportAdvancedDrill="1" xr:uid="{5D478C41-8582-449B-A278-60613BC85761}">
  <cacheSource type="external" connectionId="1"/>
  <cacheFields count="7">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Omfördelningsnytta"/>
        <s v="Finansiell nytta" u="1"/>
      </sharedItems>
    </cacheField>
    <cacheField name="[Measures].[Summan av Summa trolig]" caption="Summan av Summa trolig" numFmtId="0" hierarchy="59" level="32767"/>
    <cacheField name="[Measures].[Summan av Summa min]" caption="Summan av Summa min" numFmtId="0" hierarchy="73" level="32767"/>
    <cacheField name="[Measures].[Summan av Summa max]" caption="Summan av Summa max" numFmtId="0" hierarchy="7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6"/>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oneField="1" hidden="1">
      <fieldsUsage count="1">
        <fieldUsage x="3"/>
      </fieldsUsage>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oneField="1" hidden="1">
      <fieldsUsage count="1">
        <fieldUsage x="4"/>
      </fieldsUsage>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53356485" backgroundQuery="1" createdVersion="3" refreshedVersion="7" minRefreshableVersion="3" recordCount="0" supportSubquery="1" supportAdvancedDrill="1" xr:uid="{3BD5D8CB-2F3E-454E-A80E-155D79CB18CF}">
  <cacheSource type="external" connectionId="1">
    <extLst>
      <ext xmlns:x14="http://schemas.microsoft.com/office/spreadsheetml/2009/9/main" uri="{F057638F-6D5F-4e77-A914-E7F072B9BCA8}">
        <x14:sourceConnection name="ThisWorkbookDataModel"/>
      </ext>
    </extLst>
  </cacheSource>
  <cacheFields count="0"/>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500662303"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55671295" backgroundQuery="1" createdVersion="6" refreshedVersion="7" minRefreshableVersion="3" recordCount="0" supportSubquery="1" supportAdvancedDrill="1" xr:uid="{4282AA85-178F-45CC-AE9C-8ABD04363198}">
  <cacheSource type="external" connectionId="1"/>
  <cacheFields count="6">
    <cacheField name="[Kostnadskategori].[Kostnadskategori].[Kostnadskategori]" caption="Kostnadskategori" numFmtId="0" hierarchy="26" level="1">
      <sharedItems containsSemiMixedTypes="0" containsNonDate="0" containsString="0"/>
    </cacheField>
    <cacheField name="[Measures].[Summan av Summa max 2]" caption="Summan av Summa max 2" numFmtId="0" hierarchy="75" level="32767"/>
    <cacheField name="[Measures].[Summan av Summa trolig 2]" caption="Summan av Summa trolig 2" numFmtId="0" hierarchy="60" level="32767"/>
    <cacheField name="[Measures].[Summan av Summa min 2]" caption="Summan av Summa min 2" numFmtId="0" hierarchy="7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5"/>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4"/>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oneField="1" hidden="1">
      <fieldsUsage count="1">
        <fieldUsage x="1"/>
      </fieldsUsage>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oneField="1" hidden="1">
      <fieldsUsage count="1">
        <fieldUsage x="3"/>
      </fieldsUsage>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57060188" backgroundQuery="1" createdVersion="6" refreshedVersion="7" minRefreshableVersion="3" recordCount="0" supportSubquery="1" supportAdvancedDrill="1" xr:uid="{22236502-B2F8-4C9B-A892-170F3A6B9650}">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ax år 1]" caption="Summan av Max år 1" numFmtId="0" hierarchy="77" level="32767"/>
    <cacheField name="[Measures].[Summan av Max år 2]" caption="Summan av Max år 2" numFmtId="0" hierarchy="78" level="32767"/>
    <cacheField name="[Measures].[Summan av Max år 3]" caption="Summan av Max år 3" numFmtId="0" hierarchy="79" level="32767"/>
    <cacheField name="[Measures].[Summan av Max år 4]" caption="Summan av Max år 4" numFmtId="0" hierarchy="80" level="32767"/>
    <cacheField name="[Measures].[Summan av Max år 5]" caption="Summan av Max år 5" numFmtId="0" hierarchy="81" level="32767"/>
    <cacheField name="[Measures].[Summan av Max år 6]" caption="Summan av Max år 6" numFmtId="0" hierarchy="8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oneField="1" hidden="1">
      <fieldsUsage count="1">
        <fieldUsage x="2"/>
      </fieldsUsage>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oneField="1" hidden="1">
      <fieldsUsage count="1">
        <fieldUsage x="3"/>
      </fieldsUsage>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oneField="1" hidden="1">
      <fieldsUsage count="1">
        <fieldUsage x="4"/>
      </fieldsUsage>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oneField="1" hidden="1">
      <fieldsUsage count="1">
        <fieldUsage x="5"/>
      </fieldsUsage>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oneField="1" hidden="1">
      <fieldsUsage count="1">
        <fieldUsage x="6"/>
      </fieldsUsage>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oneField="1" hidden="1">
      <fieldsUsage count="1">
        <fieldUsage x="7"/>
      </fieldsUsage>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58333335" backgroundQuery="1" createdVersion="6" refreshedVersion="7" minRefreshableVersion="3" recordCount="0" supportSubquery="1" supportAdvancedDrill="1" xr:uid="{C0822892-7690-4654-9375-336E44A4AC84}">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in år 1]" caption="Summan av Min år 1" numFmtId="0" hierarchy="83" level="32767"/>
    <cacheField name="[Measures].[Summan av Min år 2]" caption="Summan av Min år 2" numFmtId="0" hierarchy="84" level="32767"/>
    <cacheField name="[Measures].[Summan av Min år 3]" caption="Summan av Min år 3" numFmtId="0" hierarchy="85" level="32767"/>
    <cacheField name="[Measures].[Summan av Min år 4]" caption="Summan av Min år 4" numFmtId="0" hierarchy="86" level="32767"/>
    <cacheField name="[Measures].[Summan av Min år 5]" caption="Summan av Min år 5" numFmtId="0" hierarchy="87" level="32767"/>
    <cacheField name="[Measures].[Summan av Min år 6]" caption="Summan av Min år 6" numFmtId="0" hierarchy="88"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oneField="1" hidden="1">
      <fieldsUsage count="1">
        <fieldUsage x="2"/>
      </fieldsUsage>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oneField="1" hidden="1">
      <fieldsUsage count="1">
        <fieldUsage x="3"/>
      </fieldsUsage>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oneField="1" hidden="1">
      <fieldsUsage count="1">
        <fieldUsage x="4"/>
      </fieldsUsage>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oneField="1" hidden="1">
      <fieldsUsage count="1">
        <fieldUsage x="5"/>
      </fieldsUsage>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oneField="1" hidden="1">
      <fieldsUsage count="1">
        <fieldUsage x="6"/>
      </fieldsUsage>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oneField="1" hidden="1">
      <fieldsUsage count="1">
        <fieldUsage x="7"/>
      </fieldsUsage>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59606482" backgroundQuery="1" createdVersion="6" refreshedVersion="7" minRefreshableVersion="3" recordCount="0" supportSubquery="1" supportAdvancedDrill="1" xr:uid="{8B632009-0EA4-4813-BE05-EB5FB2891CDA}">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ax år 1 2]" caption="Summan av Max år 1 2" numFmtId="0" hierarchy="89" level="32767"/>
    <cacheField name="[Measures].[Summan av Max år 2 2]" caption="Summan av Max år 2 2" numFmtId="0" hierarchy="90" level="32767"/>
    <cacheField name="[Measures].[Summan av Max år 3 2]" caption="Summan av Max år 3 2" numFmtId="0" hierarchy="91" level="32767"/>
    <cacheField name="[Measures].[Summan av Max år 4 2]" caption="Summan av Max år 4 2" numFmtId="0" hierarchy="92" level="32767"/>
    <cacheField name="[Measures].[Summan av Max år 5 2]" caption="Summan av Max år 5 2" numFmtId="0" hierarchy="93" level="32767"/>
    <cacheField name="[Measures].[Summan av Max år 6 2]" caption="Summan av Max år 6 2" numFmtId="0" hierarchy="9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oneField="1" hidden="1">
      <fieldsUsage count="1">
        <fieldUsage x="1"/>
      </fieldsUsage>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oneField="1" hidden="1">
      <fieldsUsage count="1">
        <fieldUsage x="2"/>
      </fieldsUsage>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oneField="1" hidden="1">
      <fieldsUsage count="1">
        <fieldUsage x="3"/>
      </fieldsUsage>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oneField="1" hidden="1">
      <fieldsUsage count="1">
        <fieldUsage x="4"/>
      </fieldsUsage>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oneField="1" hidden="1">
      <fieldsUsage count="1">
        <fieldUsage x="5"/>
      </fieldsUsage>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oneField="1" hidden="1">
      <fieldsUsage count="1">
        <fieldUsage x="6"/>
      </fieldsUsage>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60879629" backgroundQuery="1" createdVersion="6" refreshedVersion="7" minRefreshableVersion="3" recordCount="0" supportSubquery="1" supportAdvancedDrill="1" xr:uid="{80F596EB-4BC8-435F-BD73-9A182EB0C733}">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in år 2 2]" caption="Summan av Min år 2 2" numFmtId="0" hierarchy="96" level="32767"/>
    <cacheField name="[Measures].[Summan av Min år 3 2]" caption="Summan av Min år 3 2" numFmtId="0" hierarchy="97" level="32767"/>
    <cacheField name="[Measures].[Summan av Min år 4 2]" caption="Summan av Min år 4 2" numFmtId="0" hierarchy="98" level="32767"/>
    <cacheField name="[Measures].[Summan av Min år 5 2]" caption="Summan av Min år 5 2" numFmtId="0" hierarchy="99" level="32767"/>
    <cacheField name="[Measures].[Summan av Min år 6 2]" caption="Summan av Min år 6 2" numFmtId="0" hierarchy="100" level="32767"/>
    <cacheField name="[Measures].[Summan av Min år 1 2]" caption="Summan av Min år 1 2" numFmtId="0" hierarchy="95"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oneField="1" hidden="1">
      <fieldsUsage count="1">
        <fieldUsage x="6"/>
      </fieldsUsage>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oneField="1" hidden="1">
      <fieldsUsage count="1">
        <fieldUsage x="1"/>
      </fieldsUsage>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oneField="1" hidden="1">
      <fieldsUsage count="1">
        <fieldUsage x="2"/>
      </fieldsUsage>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oneField="1" hidden="1">
      <fieldsUsage count="1">
        <fieldUsage x="3"/>
      </fieldsUsage>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oneField="1" hidden="1">
      <fieldsUsage count="1">
        <fieldUsage x="4"/>
      </fieldsUsage>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oneField="1" hidden="1">
      <fieldsUsage count="1">
        <fieldUsage x="5"/>
      </fieldsUsage>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62037037" backgroundQuery="1" createdVersion="6" refreshedVersion="7" minRefreshableVersion="3" recordCount="0" supportSubquery="1" supportAdvancedDrill="1" xr:uid="{EBFF1133-2EBB-47E9-9487-F0D9C56C8A67}">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er"/>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63541669" backgroundQuery="1" createdVersion="6" refreshedVersion="7" minRefreshableVersion="3" recordCount="0" supportSubquery="1" supportAdvancedDrill="1" xr:uid="{8BBF75FA-0EF4-4F56-9837-B1681A1A9547}">
  <cacheSource type="external" connectionId="1"/>
  <cacheFields count="4">
    <cacheField name="[Kostnadskategori].[Kostnadskategori].[Kostnadskategori]" caption="Kostnadskategori" numFmtId="0" hierarchy="26" level="1">
      <sharedItems containsSemiMixedTypes="0" containsNonDate="0" containsString="0"/>
    </cacheField>
    <cacheField name="[Kostnader].[Intressent].[Intressent]" caption="Intressent" numFmtId="0" hierarchy="2" level="1">
      <sharedItems count="1">
        <s v="Regioner"/>
      </sharedItems>
    </cacheField>
    <cacheField name="[Measures].[Summan av Summa trolig 2]" caption="Summan av Summa trolig 2" numFmtId="0" hierarchy="60"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1"/>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76.672164814816" backgroundQuery="1" createdVersion="6" refreshedVersion="7" minRefreshableVersion="3" recordCount="0" supportSubquery="1" supportAdvancedDrill="1" xr:uid="{30592131-14EE-4F8B-B586-98DAEB55F4AB}">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Kommune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5"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96E66A4-838C-49B9-A5D6-239F23CAD4DB}" name="Pivottabell3" cacheId="290"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211:D212"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colFields count="1">
    <field x="3"/>
  </colFields>
  <pageFields count="1">
    <pageField fld="0" hier="27" name="[Nyttokategori].[Nyttokategori].&amp;[Finansiell nytta]" cap="Finansiell nytta"/>
  </pageFields>
  <dataFields count="1">
    <dataField name="Fördelning av nyttor - finansiell nytta" fld="2" showDataAs="percentOfTotal" baseField="1" baseItem="0" numFmtId="9"/>
  </dataFields>
  <formats count="13">
    <format dxfId="96">
      <pivotArea outline="0" collapsedLevelsAreSubtotals="1" fieldPosition="0"/>
    </format>
    <format dxfId="95">
      <pivotArea type="all" dataOnly="0" outline="0" fieldPosition="0"/>
    </format>
    <format dxfId="94">
      <pivotArea outline="0" collapsedLevelsAreSubtotals="1" fieldPosition="0"/>
    </format>
    <format dxfId="93">
      <pivotArea type="origin" dataOnly="0" labelOnly="1" outline="0" fieldPosition="0"/>
    </format>
    <format dxfId="92">
      <pivotArea field="3" type="button" dataOnly="0" labelOnly="1" outline="0" axis="axisCol" fieldPosition="0"/>
    </format>
    <format dxfId="91">
      <pivotArea type="topRight" dataOnly="0" labelOnly="1" outline="0" fieldPosition="0"/>
    </format>
    <format dxfId="90">
      <pivotArea field="1" type="button" dataOnly="0" labelOnly="1" outline="0" axis="axisRow" fieldPosition="0"/>
    </format>
    <format dxfId="89">
      <pivotArea dataOnly="0" labelOnly="1" fieldPosition="0">
        <references count="1">
          <reference field="1" count="0"/>
        </references>
      </pivotArea>
    </format>
    <format dxfId="88">
      <pivotArea dataOnly="0" labelOnly="1" grandRow="1" outline="0" fieldPosition="0"/>
    </format>
    <format dxfId="87">
      <pivotArea dataOnly="0" labelOnly="1" fieldPosition="0">
        <references count="1">
          <reference field="3" count="0"/>
        </references>
      </pivotArea>
    </format>
    <format dxfId="86">
      <pivotArea dataOnly="0" labelOnly="1" grandCol="1" outline="0" fieldPosition="0"/>
    </format>
    <format dxfId="85">
      <pivotArea outline="0" fieldPosition="0">
        <references count="1">
          <reference field="4294967294" count="1">
            <x v="0"/>
          </reference>
        </references>
      </pivotArea>
    </format>
    <format dxfId="8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Finansiell 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EB7AB05-0685-46F8-9C60-0467879D8EB4}" name="Pivottabell19" cacheId="286"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2">
  <location ref="AG178:AH178"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pageFields count="1">
    <pageField fld="1" hier="27" name="[Nyttokategori].[Nyttokategori].&amp;[Finansiell nytta]" cap="Finansiell nytta"/>
  </pageFields>
  <dataFields count="1">
    <dataField name="Summan av Summa trolig" fld="2" baseField="0" baseItem="0"/>
  </dataFields>
  <formats count="7">
    <format dxfId="45">
      <pivotArea collapsedLevelsAreSubtotals="1" fieldPosition="0">
        <references count="1">
          <reference field="1" count="0"/>
        </references>
      </pivotArea>
    </format>
    <format dxfId="44">
      <pivotArea type="all" dataOnly="0" outline="0" fieldPosition="0"/>
    </format>
    <format dxfId="43">
      <pivotArea outline="0" collapsedLevelsAreSubtotals="1" fieldPosition="0"/>
    </format>
    <format dxfId="42">
      <pivotArea field="1" type="button" dataOnly="0" labelOnly="1" outline="0" axis="axisPage" fieldPosition="0"/>
    </format>
    <format dxfId="41">
      <pivotArea dataOnly="0" labelOnly="1" fieldPosition="0">
        <references count="1">
          <reference field="1" count="0"/>
        </references>
      </pivotArea>
    </format>
    <format dxfId="40">
      <pivotArea dataOnly="0" labelOnly="1" grandRow="1" outline="0" fieldPosition="0"/>
    </format>
    <format dxfId="39">
      <pivotArea outline="0" collapsedLevelsAreSubtotals="1" fieldPosition="0"/>
    </format>
  </formats>
  <chartFormats count="7">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1A8F722-5E58-4AC3-85CC-B3624C5E20FB}" name="Pivottabell17" cacheId="285" dataOnRows="1" applyNumberFormats="0" applyBorderFormats="0" applyFontFormats="0" applyPatternFormats="0" applyAlignmentFormats="0" applyWidthHeightFormats="1" dataCaption="Värden" showMissing="0" updatedVersion="7" minRefreshableVersion="3" rowGrandTotals="0" colGrandTotals="0" itemPrintTitles="1" createdVersion="6" indent="0" outline="1" outlineData="1" multipleFieldFilters="0" chartFormat="6">
  <location ref="K191:L19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s>
  <rowFields count="1">
    <field x="1"/>
  </rowFields>
  <rowItems count="1">
    <i>
      <x/>
    </i>
  </rowItems>
  <colItems count="1">
    <i/>
  </colItems>
  <pageFields count="1">
    <pageField fld="0" hier="26" name="[Kostnadskategori].[Kostnadskategori].&amp;[Projekt]" cap="Projekt"/>
  </pageFields>
  <dataFields count="1">
    <dataField name="Summan av Summa trolig" fld="2" baseField="0" baseItem="0"/>
  </dataFields>
  <formats count="6">
    <format dxfId="51">
      <pivotArea type="all" dataOnly="0" outline="0" fieldPosition="0"/>
    </format>
    <format dxfId="50">
      <pivotArea field="0" type="button" dataOnly="0" labelOnly="1" outline="0" axis="axisPage" fieldPosition="0"/>
    </format>
    <format dxfId="49">
      <pivotArea type="topRight" dataOnly="0" labelOnly="1" outline="0" fieldPosition="0"/>
    </format>
    <format dxfId="48">
      <pivotArea dataOnly="0" labelOnly="1" fieldPosition="0">
        <references count="1">
          <reference field="0" count="0"/>
        </references>
      </pivotArea>
    </format>
    <format dxfId="47">
      <pivotArea dataOnly="0" labelOnly="1" grandCol="1" outline="0" fieldPosition="0"/>
    </format>
    <format dxfId="46">
      <pivotArea outline="0" collapsedLevelsAreSubtotals="1" fieldPosition="0"/>
    </format>
  </formats>
  <chartFormats count="4">
    <chartFormat chart="1" format="0"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5" format="7">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B750C4C-1836-4692-A860-49D5A58F16DA}" name="Pivottabell12" cacheId="280"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45:H146"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2" baseField="0" baseItem="0"/>
    <dataField name="Summan av Max år 2" fld="3" baseField="0" baseItem="0"/>
    <dataField name="Summan av Max år 3" fld="4" baseField="0" baseItem="0"/>
    <dataField name="Summan av Max år 4" fld="5" baseField="0" baseItem="0"/>
    <dataField name="Summan av Max år 5" fld="6" baseField="0" baseItem="0"/>
    <dataField name="Summan av Max år 6" fld="7" baseField="0" baseItem="0"/>
  </dataFields>
  <formats count="5">
    <format dxfId="56">
      <pivotArea type="all" dataOnly="0" outline="0" fieldPosition="0"/>
    </format>
    <format dxfId="55">
      <pivotArea outline="0" collapsedLevelsAreSubtotals="1" fieldPosition="0"/>
    </format>
    <format dxfId="54">
      <pivotArea field="1" type="button" dataOnly="0" labelOnly="1" outline="0"/>
    </format>
    <format dxfId="53">
      <pivotArea dataOnly="0" labelOnly="1" grandRow="1" outline="0" fieldPosition="0"/>
    </format>
    <format dxfId="5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7EC278BB-01E4-4461-81C9-BE36DFEA8310}" name="Pivottabell13" cacheId="28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47:H148"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2" baseField="0" baseItem="0"/>
    <dataField name="Summan av Min år 2" fld="3" baseField="0" baseItem="0"/>
    <dataField name="Summan av Min år 3" fld="4" baseField="0" baseItem="0"/>
    <dataField name="Summan av Min år 4" fld="5" baseField="0" baseItem="0"/>
    <dataField name="Summan av Min år 5" fld="6" baseField="0" baseItem="0"/>
    <dataField name="Summan av Min år 6" fld="7" baseField="0" baseItem="0"/>
  </dataFields>
  <formats count="5">
    <format dxfId="61">
      <pivotArea type="all" dataOnly="0" outline="0" fieldPosition="0"/>
    </format>
    <format dxfId="60">
      <pivotArea outline="0" collapsedLevelsAreSubtotals="1" fieldPosition="0"/>
    </format>
    <format dxfId="59">
      <pivotArea field="1" type="button" dataOnly="0" labelOnly="1" outline="0"/>
    </format>
    <format dxfId="58">
      <pivotArea dataOnly="0" labelOnly="1" grandRow="1" outline="0" fieldPosition="0"/>
    </format>
    <format dxfId="5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5AE43E7-4743-45BA-96AB-A8F5491ADB02}" name="Pivottabell8" cacheId="288"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24:I25" firstHeaderRow="0" firstDataRow="1" firstDataCol="1"/>
  <pivotFields count="10">
    <pivotField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1">
    <i>
      <x/>
    </i>
  </rowItems>
  <colFields count="1">
    <field x="-2"/>
  </colFields>
  <colItems count="6">
    <i>
      <x/>
    </i>
    <i i="1">
      <x v="1"/>
    </i>
    <i i="2">
      <x v="2"/>
    </i>
    <i i="3">
      <x v="3"/>
    </i>
    <i i="4">
      <x v="4"/>
    </i>
    <i i="5">
      <x v="5"/>
    </i>
  </colItems>
  <dataFields count="6">
    <dataField name="Summan av Troligt år 1" fld="2" baseField="0" baseItem="0"/>
    <dataField name="Summan av Troligt år 2" fld="3" baseField="0" baseItem="0"/>
    <dataField name="Summan av Troligt år 3" fld="4" baseField="0" baseItem="0"/>
    <dataField name="Summan av Troligt år 4" fld="5" baseField="0" baseItem="0"/>
    <dataField name="Summan av Troligt år 5" fld="6" baseField="0" baseItem="0"/>
    <dataField name="Summan av Troligt år 6" fld="7" baseField="0" baseItem="0"/>
  </dataFields>
  <formats count="8">
    <format dxfId="69">
      <pivotArea collapsedLevelsAreSubtotals="1" fieldPosition="0">
        <references count="1">
          <reference field="1" count="0"/>
        </references>
      </pivotArea>
    </format>
    <format dxfId="68">
      <pivotArea type="all" dataOnly="0" outline="0" fieldPosition="0"/>
    </format>
    <format dxfId="67">
      <pivotArea outline="0" collapsedLevelsAreSubtotals="1" fieldPosition="0"/>
    </format>
    <format dxfId="66">
      <pivotArea field="1" type="button" dataOnly="0" labelOnly="1" outline="0" axis="axisRow" fieldPosition="0"/>
    </format>
    <format dxfId="65">
      <pivotArea dataOnly="0" labelOnly="1" fieldPosition="0">
        <references count="1">
          <reference field="1" count="0"/>
        </references>
      </pivotArea>
    </format>
    <format dxfId="64">
      <pivotArea dataOnly="0" labelOnly="1" grandRow="1" outline="0" fieldPosition="0"/>
    </format>
    <format dxfId="63">
      <pivotArea dataOnly="0" labelOnly="1" outline="0" fieldPosition="0">
        <references count="1">
          <reference field="4294967294" count="6">
            <x v="0"/>
            <x v="1"/>
            <x v="2"/>
            <x v="3"/>
            <x v="4"/>
            <x v="5"/>
          </reference>
        </references>
      </pivotArea>
    </format>
    <format dxfId="6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A07A6E4-3DB0-4765-8EC2-05FF3F7D19F7}" name="Pivottabell20" cacheId="287"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7">
  <location ref="AS171:AT172"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x="0"/>
        <item s="1"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rowItems count="1">
    <i>
      <x/>
    </i>
  </rowItems>
  <colItems count="1">
    <i/>
  </colItems>
  <pageFields count="1">
    <pageField fld="1" hier="27" name="[Nyttokategori].[Nyttokategori].&amp;[Omfördelningsnytta]" cap="Omfördelningsnytta"/>
  </pageFields>
  <dataFields count="1">
    <dataField name="Summan av Summa trolig" fld="2" baseField="0" baseItem="0"/>
  </dataFields>
  <formats count="7">
    <format dxfId="76">
      <pivotArea collapsedLevelsAreSubtotals="1" fieldPosition="0">
        <references count="1">
          <reference field="1" count="0"/>
        </references>
      </pivotArea>
    </format>
    <format dxfId="75">
      <pivotArea type="all" dataOnly="0" outline="0" fieldPosition="0"/>
    </format>
    <format dxfId="74">
      <pivotArea outline="0" collapsedLevelsAreSubtotals="1" fieldPosition="0"/>
    </format>
    <format dxfId="73">
      <pivotArea field="1" type="button" dataOnly="0" labelOnly="1" outline="0" axis="axisPage" fieldPosition="0"/>
    </format>
    <format dxfId="72">
      <pivotArea dataOnly="0" labelOnly="1" fieldPosition="0">
        <references count="1">
          <reference field="1" count="0"/>
        </references>
      </pivotArea>
    </format>
    <format dxfId="71">
      <pivotArea dataOnly="0" labelOnly="1" grandRow="1" outline="0" fieldPosition="0"/>
    </format>
    <format dxfId="70">
      <pivotArea outline="0" collapsedLevelsAreSubtotals="1" fieldPosition="0"/>
    </format>
  </formats>
  <chartFormats count="9">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1" format="2">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0"/>
          </reference>
        </references>
      </pivotArea>
    </chartFormat>
    <chartFormat chart="15"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BB5A7F6-B276-475E-B02B-7C4704D4E3E1}" name="Pivottabell10" cacheId="293"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84:D88" firstHeaderRow="1" firstDataRow="2" firstDataCol="1"/>
  <pivotFields count="7">
    <pivotField allDrilled="1" subtotalTop="0" showAll="0" dataSourceSort="1" defaultSubtotal="0" defaultAttributeDrillState="1">
      <items count="2">
        <item s="1" x="0"/>
        <item s="1" x="1"/>
      </items>
    </pivotField>
    <pivotField axis="axisCol"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Fields count="1">
    <field x="1"/>
  </colFields>
  <colItems count="1">
    <i>
      <x/>
    </i>
  </colItems>
  <dataFields count="3">
    <dataField name="Summan av Summa min" fld="3" baseField="0" baseItem="0"/>
    <dataField name="Summan av Summa trolig" fld="2" baseField="0" baseItem="0"/>
    <dataField name="Summan av Summa max" fld="4" baseField="0" baseItem="0"/>
  </dataFields>
  <formats count="7">
    <format dxfId="83">
      <pivotArea collapsedLevelsAreSubtotals="1" fieldPosition="0">
        <references count="1">
          <reference field="1" count="0"/>
        </references>
      </pivotArea>
    </format>
    <format dxfId="82">
      <pivotArea type="all" dataOnly="0" outline="0" fieldPosition="0"/>
    </format>
    <format dxfId="81">
      <pivotArea outline="0" collapsedLevelsAreSubtotals="1" fieldPosition="0"/>
    </format>
    <format dxfId="80">
      <pivotArea field="1" type="button" dataOnly="0" labelOnly="1" outline="0" axis="axisCol" fieldPosition="0"/>
    </format>
    <format dxfId="79">
      <pivotArea dataOnly="0" labelOnly="1" fieldPosition="0">
        <references count="1">
          <reference field="1" count="0"/>
        </references>
      </pivotArea>
    </format>
    <format dxfId="78">
      <pivotArea dataOnly="0" labelOnly="1" grandRow="1" outline="0" fieldPosition="0"/>
    </format>
    <format dxfId="7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212A84A-3111-4C94-BF19-DEE0730887D5}" name="Pivottabell6" cacheId="292"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111:E117" firstHeaderRow="1" firstDataRow="2" firstDataCol="1" rowPageCount="1" colPageCount="1"/>
  <pivotFields count="6">
    <pivotField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2"/>
  </rowFields>
  <rowItems count="5">
    <i>
      <x/>
    </i>
    <i>
      <x v="1"/>
    </i>
    <i>
      <x v="2"/>
    </i>
    <i>
      <x v="3"/>
    </i>
    <i t="grand">
      <x/>
    </i>
  </rowItems>
  <colFields count="1">
    <field x="4"/>
  </colFields>
  <colItems count="2">
    <i>
      <x/>
    </i>
    <i t="grand">
      <x/>
    </i>
  </colItems>
  <pageFields count="1">
    <pageField fld="1" hier="26" name="[Kostnadskategori].[Kostnadskategori].&amp;[Projekt]" cap="Projekt"/>
  </pageFields>
  <dataFields count="1">
    <dataField name="Fördelning av kostnader" fld="3" showDataAs="percentOfTotal" baseField="2" baseItem="0" numFmtId="9"/>
  </dataFields>
  <formats count="9">
    <format dxfId="105">
      <pivotArea outline="0" collapsedLevelsAreSubtotals="1" fieldPosition="0"/>
    </format>
    <format dxfId="104">
      <pivotArea type="all" dataOnly="0" outline="0" fieldPosition="0"/>
    </format>
    <format dxfId="103">
      <pivotArea outline="0" collapsedLevelsAreSubtotals="1" fieldPosition="0"/>
    </format>
    <format dxfId="102">
      <pivotArea type="origin" dataOnly="0" labelOnly="1" outline="0" fieldPosition="0"/>
    </format>
    <format dxfId="101">
      <pivotArea type="topRight" dataOnly="0" labelOnly="1" outline="0" fieldPosition="0"/>
    </format>
    <format dxfId="100">
      <pivotArea dataOnly="0" labelOnly="1" grandRow="1" outline="0" fieldPosition="0"/>
    </format>
    <format dxfId="99">
      <pivotArea dataOnly="0" labelOnly="1" grandCol="1" outline="0" fieldPosition="0"/>
    </format>
    <format dxfId="98">
      <pivotArea outline="0" fieldPosition="0">
        <references count="1">
          <reference field="4294967294" count="1">
            <x v="0"/>
          </reference>
        </references>
      </pivotArea>
    </format>
    <format dxfId="9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activeTabTopLevelEntity name="[Kostnads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B3F092D-5E06-475F-90DA-11315BA2C0AD}" name="Pivottabell5" cacheId="291"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314:E317"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rowItems count="2">
    <i>
      <x/>
    </i>
    <i t="grand">
      <x/>
    </i>
  </rowItems>
  <colFields count="1">
    <field x="3"/>
  </colFields>
  <colItems count="2">
    <i>
      <x/>
    </i>
    <i t="grand">
      <x/>
    </i>
  </colItems>
  <pageFields count="1">
    <pageField fld="0" hier="27" name="[Nyttokategori].[Nyttokategori].&amp;[Omfördelningsnytta]" cap="Omfördelningsnytta"/>
  </pageFields>
  <dataFields count="1">
    <dataField name="Fördelning av nyttor - finansiell nytta" fld="2" showDataAs="percentOfTotal" baseField="1" baseItem="0" numFmtId="9"/>
  </dataFields>
  <formats count="13">
    <format dxfId="118">
      <pivotArea outline="0" collapsedLevelsAreSubtotals="1" fieldPosition="0"/>
    </format>
    <format dxfId="117">
      <pivotArea type="all" dataOnly="0" outline="0" fieldPosition="0"/>
    </format>
    <format dxfId="116">
      <pivotArea outline="0" collapsedLevelsAreSubtotals="1" fieldPosition="0"/>
    </format>
    <format dxfId="115">
      <pivotArea type="origin" dataOnly="0" labelOnly="1" outline="0" fieldPosition="0"/>
    </format>
    <format dxfId="114">
      <pivotArea field="3" type="button" dataOnly="0" labelOnly="1" outline="0" axis="axisCol" fieldPosition="0"/>
    </format>
    <format dxfId="113">
      <pivotArea type="topRight" dataOnly="0" labelOnly="1" outline="0" fieldPosition="0"/>
    </format>
    <format dxfId="112">
      <pivotArea field="1" type="button" dataOnly="0" labelOnly="1" outline="0" axis="axisRow" fieldPosition="0"/>
    </format>
    <format dxfId="111">
      <pivotArea dataOnly="0" labelOnly="1" fieldPosition="0">
        <references count="1">
          <reference field="1" count="0"/>
        </references>
      </pivotArea>
    </format>
    <format dxfId="110">
      <pivotArea dataOnly="0" labelOnly="1" grandRow="1" outline="0" fieldPosition="0"/>
    </format>
    <format dxfId="109">
      <pivotArea dataOnly="0" labelOnly="1" fieldPosition="0">
        <references count="1">
          <reference field="3" count="0"/>
        </references>
      </pivotArea>
    </format>
    <format dxfId="108">
      <pivotArea dataOnly="0" labelOnly="1" grandCol="1" outline="0" fieldPosition="0"/>
    </format>
    <format dxfId="107">
      <pivotArea outline="0" fieldPosition="0">
        <references count="1">
          <reference field="4294967294" count="1">
            <x v="0"/>
          </reference>
        </references>
      </pivotArea>
    </format>
    <format dxfId="10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653A27A-E45B-4FB6-B089-4809F3A57E24}" name="Pivottabell4" cacheId="278"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87:E90"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rowItems count="2">
    <i>
      <x/>
    </i>
    <i t="grand">
      <x/>
    </i>
  </rowItems>
  <colFields count="1">
    <field x="3"/>
  </colFields>
  <colItems count="2">
    <i>
      <x/>
    </i>
    <i t="grand">
      <x/>
    </i>
  </colItems>
  <pageFields count="1">
    <pageField fld="0" hier="27" name="[Nyttokategori].[Nyttokategori].&amp;[Finansiell nytta]" cap="Finansiell nytta"/>
  </pageFields>
  <dataFields count="1">
    <dataField name="Fördelning av nyttor - alla nyttor" fld="2" showDataAs="percentOfTotal" baseField="1" baseItem="0" numFmtId="9"/>
  </dataFields>
  <formats count="13">
    <format dxfId="131">
      <pivotArea outline="0" collapsedLevelsAreSubtotals="1" fieldPosition="0"/>
    </format>
    <format dxfId="130">
      <pivotArea type="all" dataOnly="0" outline="0" fieldPosition="0"/>
    </format>
    <format dxfId="129">
      <pivotArea outline="0" collapsedLevelsAreSubtotals="1" fieldPosition="0"/>
    </format>
    <format dxfId="128">
      <pivotArea type="origin" dataOnly="0" labelOnly="1" outline="0" fieldPosition="0"/>
    </format>
    <format dxfId="127">
      <pivotArea field="3" type="button" dataOnly="0" labelOnly="1" outline="0" axis="axisCol" fieldPosition="0"/>
    </format>
    <format dxfId="126">
      <pivotArea type="topRight" dataOnly="0" labelOnly="1" outline="0" fieldPosition="0"/>
    </format>
    <format dxfId="125">
      <pivotArea field="1" type="button" dataOnly="0" labelOnly="1" outline="0" axis="axisRow" fieldPosition="0"/>
    </format>
    <format dxfId="124">
      <pivotArea dataOnly="0" labelOnly="1" fieldPosition="0">
        <references count="1">
          <reference field="1" count="0"/>
        </references>
      </pivotArea>
    </format>
    <format dxfId="123">
      <pivotArea dataOnly="0" labelOnly="1" grandRow="1" outline="0" fieldPosition="0"/>
    </format>
    <format dxfId="122">
      <pivotArea dataOnly="0" labelOnly="1" fieldPosition="0">
        <references count="1">
          <reference field="3" count="0"/>
        </references>
      </pivotArea>
    </format>
    <format dxfId="121">
      <pivotArea dataOnly="0" labelOnly="1" grandCol="1" outline="0" fieldPosition="0"/>
    </format>
    <format dxfId="120">
      <pivotArea outline="0" fieldPosition="0">
        <references count="1">
          <reference field="4294967294" count="1">
            <x v="0"/>
          </reference>
        </references>
      </pivotArea>
    </format>
    <format dxfId="11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2E1AAB6-808E-41BE-AD9C-31D3DD9322A0}" name="Pivottabell14" cacheId="282" applyNumberFormats="0" applyBorderFormats="0" applyFontFormats="0" applyPatternFormats="0" applyAlignmentFormats="0" applyWidthHeightFormats="1" dataCaption="Värden" updatedVersion="7" minRefreshableVersion="3" rowGrandTotals="0" colGrandTotals="0" itemPrintTitles="1" createdVersion="6" indent="0" outline="1" outlineData="1" multipleFieldFilters="0">
  <location ref="C153:H154"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1" baseField="0" baseItem="0"/>
    <dataField name="Summan av Max år 2" fld="2" baseField="0" baseItem="0"/>
    <dataField name="Summan av Max år 3" fld="3" baseField="0" baseItem="0"/>
    <dataField name="Summan av Max år 4" fld="4" baseField="0" baseItem="0"/>
    <dataField name="Summan av Max år 5" fld="5" baseField="0" baseItem="0"/>
    <dataField name="Summan av Max år 6" fld="6" baseField="0" baseItem="0"/>
  </dataFields>
  <formats count="5">
    <format dxfId="16">
      <pivotArea type="all" dataOnly="0" outline="0" fieldPosition="0"/>
    </format>
    <format dxfId="15">
      <pivotArea field="0" type="button" dataOnly="0" labelOnly="1" outline="0"/>
    </format>
    <format dxfId="14">
      <pivotArea type="topRight" dataOnly="0" labelOnly="1" outline="0" fieldPosition="0"/>
    </format>
    <format dxfId="13">
      <pivotArea dataOnly="0" labelOnly="1" grandCol="1" outline="0" fieldPosition="0"/>
    </format>
    <format dxfId="1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A76F9D6-75C2-42BF-9420-0464AD540CA3}" name="Pivottabell11" cacheId="279" dataOnRows="1" applyNumberFormats="0" applyBorderFormats="0" applyFontFormats="0" applyPatternFormats="0" applyAlignmentFormats="0" applyWidthHeightFormats="1" dataCaption="Värden" updatedVersion="7" minRefreshableVersion="3" rowGrandTotals="0" colGrandTotals="0" itemPrintTitles="1" createdVersion="6" indent="0" outline="1" outlineData="1" multipleFieldFilters="0">
  <location ref="C96:D99" firstHeaderRow="1" firstDataRow="1" firstDataCol="1" rowPageCount="1" colPageCount="1"/>
  <pivotFields count="6">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pageFields count="1">
    <pageField fld="0" hier="26" name="[Kostnadskategori].[Kostnadskategori].&amp;[Projekt]" cap="Projekt"/>
  </pageFields>
  <dataFields count="3">
    <dataField name="Summan av Summa min" fld="3" baseField="0" baseItem="0"/>
    <dataField name="Summan av Summa trolig" fld="2" baseField="0" baseItem="0"/>
    <dataField name="Summan av Summa max" fld="1" baseField="0" baseItem="0"/>
  </dataFields>
  <formats count="6">
    <format dxfId="22">
      <pivotArea type="all" dataOnly="0" outline="0" fieldPosition="0"/>
    </format>
    <format dxfId="21">
      <pivotArea field="0" type="button" dataOnly="0" labelOnly="1" outline="0" axis="axisPage" fieldPosition="0"/>
    </format>
    <format dxfId="20">
      <pivotArea type="topRight" dataOnly="0" labelOnly="1" outline="0" fieldPosition="0"/>
    </format>
    <format dxfId="19">
      <pivotArea dataOnly="0" labelOnly="1" fieldPosition="0">
        <references count="1">
          <reference field="0" count="0"/>
        </references>
      </pivotArea>
    </format>
    <format dxfId="18">
      <pivotArea dataOnly="0" labelOnly="1" grandCol="1" outline="0" fieldPosition="0"/>
    </format>
    <format dxfId="1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9158F70-28B5-4F8E-9D05-DB05F1212768}" name="Pivottabell15" cacheId="283"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51:H152"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6" baseField="0" baseItem="0"/>
    <dataField name="Summan av Min år 2" fld="1" baseField="0" baseItem="0"/>
    <dataField name="Summan av Min år 3" fld="2" baseField="0" baseItem="0"/>
    <dataField name="Summan av Min år 4" fld="3" baseField="0" baseItem="0"/>
    <dataField name="Summan av Min år 5" fld="4" baseField="0" baseItem="0"/>
    <dataField name="Summan av Min år 6" fld="5" baseField="0" baseItem="0"/>
  </dataFields>
  <formats count="5">
    <format dxfId="27">
      <pivotArea type="all" dataOnly="0" outline="0" fieldPosition="0"/>
    </format>
    <format dxfId="26">
      <pivotArea field="0" type="button" dataOnly="0" labelOnly="1" outline="0"/>
    </format>
    <format dxfId="25">
      <pivotArea type="topRight" dataOnly="0" labelOnly="1" outline="0" fieldPosition="0"/>
    </format>
    <format dxfId="24">
      <pivotArea dataOnly="0" labelOnly="1" grandCol="1" outline="0" fieldPosition="0"/>
    </format>
    <format dxfId="23">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BA16ED2-D728-42F4-BB46-294F70E2971B}" name="Pivottabell16" cacheId="284"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0">
  <location ref="K175:L176"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s="1"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rowItems count="1">
    <i>
      <x/>
    </i>
  </rowItems>
  <colItems count="1">
    <i/>
  </colItems>
  <pageFields count="1">
    <pageField fld="1" hier="27" name="[Nyttokategori].[Nyttokategori].&amp;[Finansiell nytta]" cap="Finansiell nytta"/>
  </pageFields>
  <dataFields count="1">
    <dataField name="Summan av Summa trolig" fld="2" baseField="0" baseItem="0"/>
  </dataFields>
  <formats count="7">
    <format dxfId="34">
      <pivotArea collapsedLevelsAreSubtotals="1" fieldPosition="0">
        <references count="1">
          <reference field="1" count="0"/>
        </references>
      </pivotArea>
    </format>
    <format dxfId="33">
      <pivotArea type="all" dataOnly="0" outline="0" fieldPosition="0"/>
    </format>
    <format dxfId="32">
      <pivotArea outline="0" collapsedLevelsAreSubtotals="1" fieldPosition="0"/>
    </format>
    <format dxfId="31">
      <pivotArea field="1" type="button" dataOnly="0" labelOnly="1" outline="0" axis="axisPage" fieldPosition="0"/>
    </format>
    <format dxfId="30">
      <pivotArea dataOnly="0" labelOnly="1" fieldPosition="0">
        <references count="1">
          <reference field="1" count="0"/>
        </references>
      </pivotArea>
    </format>
    <format dxfId="29">
      <pivotArea dataOnly="0" labelOnly="1" grandRow="1" outline="0" fieldPosition="0"/>
    </format>
    <format dxfId="28">
      <pivotArea outline="0" collapsedLevelsAreSubtotals="1" fieldPosition="0"/>
    </format>
  </formats>
  <chartFormats count="4">
    <chartFormat chart="1" format="0"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9" format="7">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774059C-1ABE-463F-A399-982CD619FE31}" name="Pivottabell9" cacheId="289"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33:I35" firstHeaderRow="0" firstDataRow="1" firstDataCol="1"/>
  <pivotFields count="9">
    <pivotField axis="axisRow" allDrilled="1" subtotalTop="0" showAll="0" dataSourceSort="1" defaultSubtotal="0" defaultAttributeDrillState="1">
      <items count="4">
        <item s="1" x="0"/>
        <item s="1" x="1"/>
        <item s="1" x="2"/>
        <item s="1" x="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2">
    <i>
      <x/>
    </i>
    <i>
      <x v="1"/>
    </i>
  </rowItems>
  <colFields count="1">
    <field x="-2"/>
  </colFields>
  <colItems count="6">
    <i>
      <x/>
    </i>
    <i i="1">
      <x v="1"/>
    </i>
    <i i="2">
      <x v="2"/>
    </i>
    <i i="3">
      <x v="3"/>
    </i>
    <i i="4">
      <x v="4"/>
    </i>
    <i i="5">
      <x v="5"/>
    </i>
  </colItems>
  <dataFields count="6">
    <dataField name="Summan av Trolig år 1" fld="1" baseField="0" baseItem="0"/>
    <dataField name="Summan av Trolig år 2" fld="2" baseField="0" baseItem="0"/>
    <dataField name="Summan av Trolig år 3" fld="3" baseField="0" baseItem="0"/>
    <dataField name="Summan av Trolig år 4" fld="4" baseField="0" baseItem="0"/>
    <dataField name="Summan av Trolig år 5" fld="5" baseField="0" baseItem="0"/>
    <dataField name="Summan av Trolig år 6" fld="6" baseField="0" baseItem="0"/>
  </dataFields>
  <formats count="4">
    <format dxfId="38">
      <pivotArea type="all" dataOnly="0" outline="0" fieldPosition="0"/>
    </format>
    <format dxfId="37">
      <pivotArea field="0" type="button" dataOnly="0" labelOnly="1" outline="0" axis="axisRow" fieldPosition="0"/>
    </format>
    <format dxfId="36">
      <pivotArea dataOnly="0" labelOnly="1" outline="0" fieldPosition="0">
        <references count="1">
          <reference field="4294967294" count="6">
            <x v="0"/>
            <x v="1"/>
            <x v="2"/>
            <x v="3"/>
            <x v="4"/>
            <x v="5"/>
          </reference>
        </references>
      </pivotArea>
    </format>
    <format dxfId="35">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2" xr10:uid="{8A5E728F-1F2F-47F1-85D2-F43382471BF0}" sourceName="[Nyttor].[Intressent]">
  <pivotTables>
    <pivotTable tabId="8" name="Pivottabell4"/>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5"/>
    <pivotTable tabId="8" name="Pivottabell6"/>
  </pivotTables>
  <data>
    <olap pivotCacheId="1500662303">
      <levels count="2">
        <level uniqueName="[Nyttor].[Intressent].[(All)]" sourceCaption="(All)" count="0"/>
        <level uniqueName="[Nyttor].[Intressent].[Intressent]" sourceCaption="Intressent" count="2">
          <ranges>
            <range startItem="0">
              <i n="[Nyttor].[Intressent].&amp;[Regioner]" c="Regioner"/>
              <i n="[Nyttor].[Intressent].&amp;[]" c=""/>
            </range>
          </ranges>
        </level>
      </levels>
      <selections count="1">
        <selection n="[Nyttor].[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3" xr10:uid="{470AA211-2EC9-445B-93A2-ABAE68FF2CC6}" sourceName="[Kostnader].[Intressent]">
  <pivotTables>
    <pivotTable tabId="8" name="Pivottabell6"/>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4"/>
    <pivotTable tabId="8" name="Pivottabell5"/>
  </pivotTables>
  <data>
    <olap pivotCacheId="1500662303">
      <levels count="2">
        <level uniqueName="[Kostnader].[Intressent].[(All)]" sourceCaption="(All)" count="0"/>
        <level uniqueName="[Kostnader].[Intressent].[Intressent]" sourceCaption="Intressent" count="2">
          <ranges>
            <range startItem="0">
              <i n="[Kostnader].[Intressent].&amp;[Regioner]" c="Regioner"/>
              <i n="[Kostnader].[Intressent].&amp;[]" c=""/>
            </range>
          </ranges>
        </level>
      </levels>
      <selections count="1">
        <selection n="[Kostnader].[Intress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755FF747-8340-4045-98E0-9448CEAEC94F}" cache="Utsnitt_Intressent2" caption="Intressent - nytta" columnCount="3" level="1" style="SlicerNytta" rowHeight="360000"/>
  <slicer name="Intressent 1" xr10:uid="{4598C9D9-2DDF-4ECA-B4BB-9B2DDC63EBF3}" cache="Utsnitt_Intressent3" caption="Intressent - kostnad" columnCount="3" level="1" style="SlicerKostnad" rowHeight="36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09A8990-7857-43F0-8DD7-E1B62FA678A4}" name="Nyttor" displayName="Nyttor" ref="B8:AA24" totalsRowCount="1" headerRowDxfId="283" dataDxfId="281" totalsRowDxfId="279" headerRowBorderDxfId="282" tableBorderDxfId="280" totalsRowBorderDxfId="278">
  <autoFilter ref="B8:AA23" xr:uid="{1C4D368F-CD8E-4FF7-B659-EF46D4E8B8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B9:AA23">
    <sortCondition ref="B8:B23"/>
  </sortState>
  <tableColumns count="26">
    <tableColumn id="1" xr3:uid="{2535C9CC-6FD7-4EDA-BEA2-82A23158469A}" name="Nr" totalsRowLabel="Summa" dataDxfId="277" totalsRowDxfId="276"/>
    <tableColumn id="3" xr3:uid="{939F2078-728C-4EFE-9AAC-9ACB3F2F10C5}" name="Nyttans namn" dataDxfId="275" totalsRowDxfId="274"/>
    <tableColumn id="4" xr3:uid="{AE463E37-762B-41FA-95EC-C2C6A5D0DD99}" name="Intressent " dataDxfId="273" totalsRowDxfId="272"/>
    <tableColumn id="2" xr3:uid="{974CC428-756A-42FF-AF2C-906ABDA8FA81}" name="Nyttokategori" dataDxfId="271" totalsRowDxfId="270"/>
    <tableColumn id="11" xr3:uid="{B334E16A-FFD6-4F86-8AAA-5065AF9B1621}" name="Troligt år 1" totalsRowFunction="custom" dataDxfId="269" totalsRowDxfId="268">
      <totalsRowFormula>SUM(Nyttor[Troligt år 1])</totalsRowFormula>
    </tableColumn>
    <tableColumn id="12" xr3:uid="{E30B17EF-18BC-4A9D-BB37-07A8994DD827}" name="Troligt år 2" totalsRowFunction="custom" dataDxfId="267" totalsRowDxfId="266">
      <totalsRowFormula>SUM(Nyttor[Troligt år 2])</totalsRowFormula>
    </tableColumn>
    <tableColumn id="13" xr3:uid="{AE44ED69-F9C9-4637-A4D8-013909638195}" name="Troligt år 3" totalsRowFunction="custom" dataDxfId="265" totalsRowDxfId="264">
      <totalsRowFormula>SUM(Nyttor[Troligt år 3])</totalsRowFormula>
    </tableColumn>
    <tableColumn id="14" xr3:uid="{A3C16973-B4FB-45F0-8075-3F0664B0B3D8}" name="Troligt år 4" totalsRowFunction="custom" dataDxfId="263" totalsRowDxfId="262">
      <totalsRowFormula>SUM(Nyttor[Troligt år 4])</totalsRowFormula>
    </tableColumn>
    <tableColumn id="15" xr3:uid="{218B2984-ADA2-4B00-91C0-0241947397AE}" name="Troligt år 5" totalsRowFunction="custom" dataDxfId="261" totalsRowDxfId="260">
      <totalsRowFormula>SUM(Nyttor[Troligt år 5])</totalsRowFormula>
    </tableColumn>
    <tableColumn id="16" xr3:uid="{C62BF1DE-9A3C-4813-B222-8F94CE5B93BB}" name="Troligt år 6" totalsRowFunction="custom" dataDxfId="259" totalsRowDxfId="258">
      <totalsRowFormula>SUM(Nyttor[Troligt år 6])</totalsRowFormula>
    </tableColumn>
    <tableColumn id="17" xr3:uid="{2DC30195-451F-4735-92CC-D654982866AB}" name="Summa trolig" totalsRowFunction="custom" dataDxfId="257" totalsRowDxfId="256">
      <calculatedColumnFormula>SUM(Nyttor[[#This Row],[Troligt år 1]:[Troligt år 6]])</calculatedColumnFormula>
      <totalsRowFormula>SUM(Nyttor[Summa trolig])</totalsRowFormula>
    </tableColumn>
    <tableColumn id="21" xr3:uid="{2F55CD85-5CC8-454D-88FC-407BDA59AF86}" name="Osäkerhet" totalsRowFunction="custom" dataDxfId="255" totalsRowDxfId="254">
      <calculatedColumnFormula>IF(OR(ISBLANK(L9),L9=0),"",(AA9-T9)/5/L9)</calculatedColumnFormula>
      <totalsRowFormula>IFERROR(AVERAGE(Nyttor[Osäkerhet]),0)</totalsRowFormula>
    </tableColumn>
    <tableColumn id="10" xr3:uid="{DB15B21E-39AB-43BD-BFD1-BBC8DD956F0F}" name="Min år 1" totalsRowFunction="custom" dataDxfId="253" totalsRowDxfId="252">
      <totalsRowFormula>SUM(Nyttor[Min år 1])</totalsRowFormula>
    </tableColumn>
    <tableColumn id="9" xr3:uid="{DB11510D-4339-4D25-A203-B881CC380113}" name="Min år 2" totalsRowFunction="custom" dataDxfId="251" totalsRowDxfId="250">
      <totalsRowFormula>SUM(Nyttor[Min år 2])</totalsRowFormula>
    </tableColumn>
    <tableColumn id="8" xr3:uid="{812A61BA-C044-437D-94D1-CF017D3ACB56}" name="Min år 3" totalsRowFunction="custom" dataDxfId="249" totalsRowDxfId="248">
      <totalsRowFormula>SUM(Nyttor[Min år 3])</totalsRowFormula>
    </tableColumn>
    <tableColumn id="7" xr3:uid="{493E3ADE-7AF3-4D20-9A72-5C6150E13FE9}" name="Min år 4" totalsRowFunction="custom" dataDxfId="247" totalsRowDxfId="246">
      <totalsRowFormula>SUM(Nyttor[Min år 4])</totalsRowFormula>
    </tableColumn>
    <tableColumn id="6" xr3:uid="{1AA02452-30F1-4347-B051-84D91AD90828}" name="Min år 5" totalsRowFunction="custom" dataDxfId="245" totalsRowDxfId="244">
      <totalsRowFormula>SUM(Nyttor[Min år 5])</totalsRowFormula>
    </tableColumn>
    <tableColumn id="5" xr3:uid="{80B5FAB4-4DCA-48DD-BF25-564D779A3073}" name="Min år 6" totalsRowFunction="custom" dataDxfId="243" totalsRowDxfId="242">
      <totalsRowFormula>SUM(Nyttor[Min år 6])</totalsRowFormula>
    </tableColumn>
    <tableColumn id="18" xr3:uid="{54949536-8931-411D-A25F-5E6646A8F7DE}" name="Summa min" totalsRowFunction="custom" dataDxfId="241" totalsRowDxfId="240">
      <calculatedColumnFormula>SUM(Nyttor[[#This Row],[Min år 1]:[Min år 6]])</calculatedColumnFormula>
      <totalsRowFormula>SUM(Nyttor[Summa min])</totalsRowFormula>
    </tableColumn>
    <tableColumn id="26" xr3:uid="{6110FC34-1AA0-475F-ABF8-AA4EA94AA2E8}" name="Max år 1" totalsRowFunction="custom" dataDxfId="239" totalsRowDxfId="238">
      <totalsRowFormula>SUM(Nyttor[Max år 1])</totalsRowFormula>
    </tableColumn>
    <tableColumn id="25" xr3:uid="{0AE7F646-1155-4C06-BB59-81F738AE21D5}" name="Max år 2" totalsRowFunction="custom" dataDxfId="237" totalsRowDxfId="236">
      <totalsRowFormula>SUM(Nyttor[Max år 2])</totalsRowFormula>
    </tableColumn>
    <tableColumn id="24" xr3:uid="{D81C83E3-4DC6-40EC-96F5-CD58918B0E66}" name="Max år 3" totalsRowFunction="custom" dataDxfId="235" totalsRowDxfId="234">
      <totalsRowFormula>SUM(Nyttor[Max år 3])</totalsRowFormula>
    </tableColumn>
    <tableColumn id="23" xr3:uid="{AF00D397-ADB6-4510-BE24-3CE03B5DF3D9}" name="Max år 4" totalsRowFunction="custom" dataDxfId="233" totalsRowDxfId="232">
      <totalsRowFormula>SUM(Nyttor[Max år 4])</totalsRowFormula>
    </tableColumn>
    <tableColumn id="22" xr3:uid="{0D852D47-624E-4848-9BAD-1C5D3AC6F453}" name="Max år 5" totalsRowFunction="custom" dataDxfId="231" totalsRowDxfId="230">
      <totalsRowFormula>SUM(Nyttor[Max år 5])</totalsRowFormula>
    </tableColumn>
    <tableColumn id="20" xr3:uid="{56CCC151-3FF4-4292-B16D-C81A956085DE}" name="Max år 6" totalsRowFunction="custom" dataDxfId="229" totalsRowDxfId="228">
      <totalsRowFormula>SUM(Nyttor[Max år 6])</totalsRowFormula>
    </tableColumn>
    <tableColumn id="19" xr3:uid="{217856F4-2C17-4D11-89C3-1C2A242394FE}" name="Summa max" totalsRowFunction="custom" dataDxfId="227" totalsRowDxfId="226">
      <calculatedColumnFormula>SUM(Nyttor[[#This Row],[Max år 1]:[Max år 6]])</calculatedColumnFormula>
      <totalsRowFormula>SUM(Nyttor[Summa max])</totalsRowFormula>
    </tableColumn>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AF4530-B7D3-476B-9A8D-A1F11DD06FBF}" name="Kostnader" displayName="Kostnader" ref="B9:AA25" totalsRowCount="1" headerRowDxfId="174" totalsRowDxfId="172" tableBorderDxfId="173">
  <autoFilter ref="B9:AA24" xr:uid="{57E796EB-2208-410E-8F4C-41BF4C0ADB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52C4C371-5301-4DCD-9B23-55836BFF9152}" name="Nr" totalsRowLabel="Summa" totalsRowDxfId="171"/>
    <tableColumn id="2" xr3:uid="{11561F0D-D812-44D8-8412-1434E555DFED}" name="Kostnadens namn" totalsRowDxfId="170"/>
    <tableColumn id="3" xr3:uid="{8559076E-C424-49A9-93E5-830F11A70A40}" name="Intressent " totalsRowDxfId="169"/>
    <tableColumn id="4" xr3:uid="{D6954F46-917F-4CEA-B444-BB95C5738CB7}" name="Kostnadskategori" totalsRowDxfId="168"/>
    <tableColumn id="5" xr3:uid="{7A48CF31-8D3D-4989-BCA5-28DBE3637644}" name="Trolig år 1" totalsRowFunction="custom" totalsRowDxfId="167">
      <totalsRowFormula>SUM(Kostnader[Trolig år 1])</totalsRowFormula>
    </tableColumn>
    <tableColumn id="6" xr3:uid="{95C04AE3-11A6-4855-927C-DE401D6D7895}" name="Trolig år 2" totalsRowFunction="custom" totalsRowDxfId="166">
      <totalsRowFormula>SUM(Kostnader[Trolig år 2])</totalsRowFormula>
    </tableColumn>
    <tableColumn id="7" xr3:uid="{8BDF2697-A1D3-439E-B0F7-523D7B6859C4}" name="Trolig år 3" totalsRowFunction="custom" totalsRowDxfId="165">
      <totalsRowFormula>SUM(Kostnader[Trolig år 3])</totalsRowFormula>
    </tableColumn>
    <tableColumn id="8" xr3:uid="{F377BF90-6C23-4D03-AE1B-0C2A417DAACC}" name="Trolig år 4" totalsRowFunction="custom" totalsRowDxfId="164">
      <totalsRowFormula>SUM(Kostnader[Trolig år 4])</totalsRowFormula>
    </tableColumn>
    <tableColumn id="9" xr3:uid="{929E869B-9FD1-4E1F-B6CD-D815869C78E7}" name="Trolig år 5" totalsRowFunction="custom" totalsRowDxfId="163">
      <totalsRowFormula>SUM(Kostnader[Trolig år 5])</totalsRowFormula>
    </tableColumn>
    <tableColumn id="10" xr3:uid="{020F8DCD-02DF-4023-8C68-2D00F757C2FC}" name="Trolig år 6" totalsRowFunction="custom" totalsRowDxfId="162">
      <totalsRowFormula>SUM(Kostnader[Trolig år 6])</totalsRowFormula>
    </tableColumn>
    <tableColumn id="11" xr3:uid="{E9F8C370-CCC6-4839-883F-BA03FE338FD5}" name="Summa trolig" totalsRowFunction="custom" dataDxfId="161" totalsRowDxfId="160">
      <totalsRowFormula>SUM(Kostnader[Summa trolig])</totalsRowFormula>
    </tableColumn>
    <tableColumn id="14" xr3:uid="{6138619D-7996-4C66-A4F7-A63E7102F535}" name="Osäkerhet" totalsRowFunction="custom" dataDxfId="159" totalsRowDxfId="158">
      <calculatedColumnFormula>IF(OR(ISBLANK(L10),L10=0),"",(AA10-T10)/5/L10)</calculatedColumnFormula>
      <totalsRowFormula>IFERROR(AVERAGE(Kostnader[Osäkerhet]),0)</totalsRowFormula>
    </tableColumn>
    <tableColumn id="20" xr3:uid="{1E24FB47-69EF-4519-9247-349CB9F9FC56}" name="Min år 1" totalsRowFunction="custom" dataDxfId="157" totalsRowDxfId="156">
      <totalsRowFormula>SUM(Kostnader[Min år 1])</totalsRowFormula>
    </tableColumn>
    <tableColumn id="19" xr3:uid="{1ABEB4EA-7257-4DDA-A1FC-C0E5B600BD32}" name="Min år 2" totalsRowFunction="custom" dataDxfId="155" totalsRowDxfId="154">
      <totalsRowFormula>SUM(Kostnader[Min år 2])</totalsRowFormula>
    </tableColumn>
    <tableColumn id="18" xr3:uid="{AF1B0891-7A12-40E8-BE74-491A17DB59B2}" name="Min år 3" totalsRowFunction="custom" dataDxfId="153" totalsRowDxfId="152">
      <totalsRowFormula>SUM(Kostnader[Min år 3])</totalsRowFormula>
    </tableColumn>
    <tableColumn id="17" xr3:uid="{70DFEA18-AF05-42CE-9BB4-C1EBC55D9519}" name="Min år 4" totalsRowFunction="custom" dataDxfId="151" totalsRowDxfId="150">
      <totalsRowFormula>SUM(Kostnader[Min år 4])</totalsRowFormula>
    </tableColumn>
    <tableColumn id="16" xr3:uid="{527F66D2-0553-42CF-AFA7-B8CCC0E58497}" name="Min år 5" totalsRowFunction="custom" dataDxfId="149" totalsRowDxfId="148">
      <totalsRowFormula>SUM(Kostnader[Min år 5])</totalsRowFormula>
    </tableColumn>
    <tableColumn id="15" xr3:uid="{D1F02EC8-E1DF-4022-8AAC-534C78591C5F}" name="Min år 6" totalsRowFunction="custom" dataDxfId="147" totalsRowDxfId="146">
      <totalsRowFormula>SUM(Kostnader[Min år 6])</totalsRowFormula>
    </tableColumn>
    <tableColumn id="12" xr3:uid="{7631041F-8DB1-41C9-B915-9F1AD67F4027}" name="Summa min" totalsRowFunction="custom" totalsRowDxfId="145">
      <calculatedColumnFormula>SUM(Kostnader[[#This Row],[Min år 1]:[Min år 6]])</calculatedColumnFormula>
      <totalsRowFormula>SUM(Kostnader[Summa min])</totalsRowFormula>
    </tableColumn>
    <tableColumn id="26" xr3:uid="{5E8A639D-6194-4AF3-880A-BA426D9B80B1}" name="Max år 1" totalsRowFunction="custom" dataDxfId="144" totalsRowDxfId="143">
      <totalsRowFormula>SUM(Kostnader[Max år 1])</totalsRowFormula>
    </tableColumn>
    <tableColumn id="25" xr3:uid="{57580ACC-2259-444B-8953-12636C32AB9D}" name="Max år 2" totalsRowFunction="custom" dataDxfId="142" totalsRowDxfId="141">
      <totalsRowFormula>SUM(Kostnader[Max år 2])</totalsRowFormula>
    </tableColumn>
    <tableColumn id="24" xr3:uid="{8B9430A1-41E4-4D81-B8D1-BAB14AB3B521}" name="Max år 3" totalsRowFunction="custom" dataDxfId="140" totalsRowDxfId="139">
      <totalsRowFormula>SUM(Kostnader[Max år 3])</totalsRowFormula>
    </tableColumn>
    <tableColumn id="23" xr3:uid="{9BEC1948-404A-48A4-9123-A10D319ECD1B}" name="Max år 4" totalsRowFunction="custom" dataDxfId="138" totalsRowDxfId="137">
      <totalsRowFormula>SUM(Kostnader[Max år 4])</totalsRowFormula>
    </tableColumn>
    <tableColumn id="22" xr3:uid="{93AA81DF-4704-47BB-8B76-3F00B782ECAF}" name="Max år 5" totalsRowFunction="custom" dataDxfId="136" totalsRowDxfId="135">
      <totalsRowFormula>SUM(Kostnader[Max år 5])</totalsRowFormula>
    </tableColumn>
    <tableColumn id="21" xr3:uid="{5C281DA0-62A0-4927-B053-AA7E173ABC40}" name="Max år 6" totalsRowFunction="custom" dataDxfId="134" totalsRowDxfId="133">
      <totalsRowFormula>SUM(Kostnader[Max år 6])</totalsRowFormula>
    </tableColumn>
    <tableColumn id="13" xr3:uid="{57C846A0-ADD9-4176-9330-B4D440F2FDF2}" name="Summa max" totalsRowFunction="custom" totalsRowDxfId="132">
      <calculatedColumnFormula>SUM(Kostnader[[#This Row],[Max år 1]:[Max år 6]])</calculatedColumnFormula>
      <totalsRowFormula>SUM(Kostnader[Summa max])</totalsRowFormula>
    </tableColumn>
  </tableColumns>
  <tableStyleInfo name="TableStyleMedium4"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Nyttokategori" displayName="Nyttokategori" ref="G8:G9" headerRowCount="0" totalsRowShown="0" headerRowDxfId="11" dataDxfId="9" headerRowBorderDxfId="10" tableBorderDxfId="8">
  <tableColumns count="1">
    <tableColumn id="1" xr3:uid="{A352804F-0369-4921-A045-4AFCA6BCCE54}" name="Nyttokategori" headerRowDxfId="7" dataDxfId="6"/>
  </tableColumns>
  <tableStyleInfo name="TableStyleMedium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1A04E4-1BA8-4D60-991A-7484DE68DBCF}" name="Kostnadskategori" displayName="Kostnadskategori" ref="I8:I11" headerRowCount="0" totalsRowShown="0" headerRowDxfId="5" dataDxfId="3" headerRowBorderDxfId="4" tableBorderDxfId="2">
  <tableColumns count="1">
    <tableColumn id="1" xr3:uid="{9CAF4DD0-D96B-4532-9985-603C49C4B2DE}" name="Kostnadskategori" headerRowDxfId="1" dataDxfId="0"/>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IneraXL_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1-03-25T08:20:20.41" personId="{9588D1FF-0CCF-42AB-96C8-1FA35CC20CBE}" id="{B6DDF31B-00DA-4E92-85FA-01E90568D031}">
    <text>Ange namnen på tjänsten / projektet / förändringsinitiativet.</text>
  </threadedComment>
  <threadedComment ref="C8" dT="2021-03-25T08:19:55.00" personId="{9588D1FF-0CCF-42AB-96C8-1FA35CC20CBE}" id="{82DC1F00-7174-4DF3-83B9-F2A500D6F1DA}">
    <text>Här anger du från vilket år du vill börja räkna nytta och kostnader.</text>
  </threadedComment>
  <threadedComment ref="C9" dT="2021-03-25T08:18:26.63" personId="{9588D1FF-0CCF-42AB-96C8-1FA35CC20CBE}" id="{0C2BEA91-6263-4590-9F34-A961686824A6}">
    <text>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ext>
  </threadedComment>
  <threadedComment ref="B11"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C5" dT="2021-03-25T09:25:45.99" personId="{9588D1FF-0CCF-42AB-96C8-1FA35CC20CBE}" id="{B3DFC78B-8804-499E-89C9-B2175190454E}">
    <text>Ge nyttan en rubrik nedan.</text>
  </threadedComment>
  <threadedComment ref="C6" dT="2021-03-25T09:25:45.99" personId="{9588D1FF-0CCF-42AB-96C8-1FA35CC20CBE}" id="{4D92B242-8B91-4623-8334-C899F58D588C}">
    <text>Ange vilken intressent nyttan tillfaller genom att trycka på pilen i fältet till höger och välja i listan som visas.  Du kan lägga till fler intressenter på fliken "Försättsblad".
Om en nytta tillfaller fler intressenter, dela upp den i flera nyttor, en per intressent.</text>
  </threadedComment>
  <threadedComment ref="C7" dT="2021-03-25T09:27:07.12" personId="{9588D1FF-0CCF-42AB-96C8-1FA35CC20CBE}" id="{353FD6D7-4D03-45CE-975F-435487B1D2B9}">
    <text>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ext>
  </threadedComment>
  <threadedComment ref="C9" dT="2021-03-25T09:02:19.18" personId="{9588D1FF-0CCF-42AB-96C8-1FA35CC20CBE}" id="{D5038BB4-DAD9-4A68-B3D3-F5BBAFB8D1EA}">
    <text>Här beskriver du vilken faktor du räknar på och i vilken enhet.</text>
  </threadedComment>
  <threadedComment ref="D9" dT="2021-03-25T08:58:44.26" personId="{9588D1FF-0CCF-42AB-96C8-1FA35CC20CBE}" id="{4B5981E8-8668-446D-B811-C73F4A380B38}">
    <text>Ange det värde som är mest sannolikt här.</text>
  </threadedComment>
  <threadedComment ref="E9" dT="2021-03-25T09:00:01.14" personId="{9588D1FF-0CCF-42AB-96C8-1FA35CC20CBE}" id="{AB82AB48-31C1-4FB3-B3F8-1262133C67B3}">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526F1C61-FDC9-4722-844B-BB34141CED54}">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6CE0C9E0-D64F-479F-9428-6CA1B64B921B}">
    <text>Här kan du ange var du har fått informationen ifrån, för att göra kalkylen transparent och för att lättare kunna revidera i framtiden.</text>
  </threadedComment>
  <threadedComment ref="G10" dT="2022-04-25T14:07:33.91" personId="{9588D1FF-0CCF-42AB-96C8-1FA35CC20CBE}" id="{C063CA23-FB4C-4477-8812-CA632BBAD045}">
    <text>Idébeskrivningen för ärendet anger dessa siffror och de baseras på de regioner som använder Rådgivningsstödet idag.</text>
  </threadedComment>
  <threadedComment ref="P19" dT="2021-03-25T08:49:14.96" personId="{9588D1FF-0CCF-42AB-96C8-1FA35CC20CBE}" id="{78AF656C-7269-4AEF-892F-AA8694D67BA7}">
    <text>Nyttan summeras automatiskt för troligt, min och max-värdena.</text>
  </threadedComment>
  <threadedComment ref="G20" dT="2022-04-03T21:46:53.46" personId="{9588D1FF-0CCF-42AB-96C8-1FA35CC20CBE}" id="{CA685C8C-AAE7-4BD9-8734-641732E8A064}">
    <text>Grundutbildad sjuksköterska</text>
  </threadedComment>
  <threadedComment ref="I20"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I21"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I22"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C23" dT="2021-03-25T09:04:47.36" personId="{9588D1FF-0CCF-42AB-96C8-1FA35CC20CBE}" id="{1BD7AF9E-277A-4F0F-8894-2A27CF4E4D39}">
    <text>I fälten till höger anger du den årliga nyttan i SEK som du räknat fram med hjälp av tabellen.</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1-03-25T10:40:21.68" personId="{9588D1FF-0CCF-42AB-96C8-1FA35CC20CBE}" id="{032399A8-BA0D-410B-8DD2-F617C138F1AB}">
    <text>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ext>
  </threadedComment>
  <threadedComment ref="F4" dT="2021-03-25T10:31:36.40" personId="{9588D1FF-0CCF-42AB-96C8-1FA35CC20CBE}" id="{180EDAEF-2E16-44DC-ACD1-76FBA4256C78}">
    <text>Diskonteringsräntan minskar värdet av framtida nyttor och kostnader. Du kan justera diskonteringsräntan på fliken Försättsblad.</text>
  </threadedComment>
  <threadedComment ref="M8" dT="2021-05-12T12:37:38.25" personId="{9588D1FF-0CCF-42AB-96C8-1FA35CC20CBE}" id="{9221B2DA-71E9-4685-8726-6011FD0406DC}">
    <text>Här beräknas osäkerheten utifrån vad du angett för min- och max. Det kan hjälpa er att se var den största osäkerheten finns. Formlen är (min/max)/5/Troligt värde).</text>
  </threadedComment>
</ThreadedComments>
</file>

<file path=xl/threadedComments/threadedComment4.xml><?xml version="1.0" encoding="utf-8"?>
<ThreadedComments xmlns="http://schemas.microsoft.com/office/spreadsheetml/2018/threadedcomments" xmlns:x="http://schemas.openxmlformats.org/spreadsheetml/2006/main">
  <threadedComment ref="C6" dT="2021-03-25T09:25:45.99" personId="{9588D1FF-0CCF-42AB-96C8-1FA35CC20CBE}" id="{E39E83E4-EB19-4114-A230-9E5967C0D5AF}">
    <text>Ange vilken intressent kostnaden tillfaller genom att klicka på pilen i fältet till höger och välja i listan som visas.  Du kan lägga till fler intressenter på fliken "Försättsblad".
Om en kostnad tillfaller fler intressenter, dela upp den i flera kostnader, en per intressent.</text>
  </threadedComment>
  <threadedComment ref="C7" dT="2021-03-25T09:27:07.12" personId="{9588D1FF-0CCF-42AB-96C8-1FA35CC20CBE}" id="{A1837D59-01EB-4303-B0CE-37C41CA808CF}">
    <text>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ext>
  </threadedComment>
  <threadedComment ref="C9" dT="2021-03-25T09:02:19.18" personId="{9588D1FF-0CCF-42AB-96C8-1FA35CC20CBE}" id="{5E236978-4E65-49F9-B1CA-10200A2E8713}">
    <text>Här beskriver du vilken faktor du räknar på och i vilken enhet.</text>
  </threadedComment>
  <threadedComment ref="D9" dT="2021-03-25T08:58:44.26" personId="{9588D1FF-0CCF-42AB-96C8-1FA35CC20CBE}" id="{10B3B047-155B-4D18-8C16-0B287D1DA858}">
    <text>Ange det värde som är mest sannolikt här.</text>
  </threadedComment>
  <threadedComment ref="E9" dT="2021-03-25T09:00:01.14" personId="{9588D1FF-0CCF-42AB-96C8-1FA35CC20CBE}" id="{231E53AC-AAC5-4004-8FDF-204B05156B0D}">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8FDB5CD7-A918-46AA-8AAF-AFD3D9B31529}">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D7798160-B2E1-45DF-8FEB-E6844A10885F}">
    <text>Här kan du ange var du har fått informationen ifrån, för att göra kalkylen transparent och för att lättare kunna revidera i framtiden.</text>
  </threadedComment>
  <threadedComment ref="P19" dT="2021-03-25T08:49:14.96" personId="{9588D1FF-0CCF-42AB-96C8-1FA35CC20CBE}" id="{B994D5A9-19D6-4C35-BE50-757B07EE841E}">
    <text>Kostnaden summeras automatiskt för troligt, min och max-värdena.</text>
  </threadedComment>
  <threadedComment ref="I20" dT="2021-03-25T09:06:38.93" personId="{9588D1FF-0CCF-42AB-96C8-1FA35CC20CBE}" id="{6731E839-633D-4A99-84D5-6DDE87709F5C}">
    <text>Här lyfter du in den årliga kostnaden du räknat ut i tabellen, år för år.</text>
  </threadedComment>
  <threadedComment ref="I21" dT="2021-03-25T09:11:16.43" personId="{9588D1FF-0CCF-42AB-96C8-1FA35CC20CBE}" id="{C6902185-C510-4C64-AEE0-E0977FC56672}">
    <text>Här lyfter du in den årliga kostnaden du räknat ut i tabellen till vänster, år för år.</text>
  </threadedComment>
  <threadedComment ref="I22" dT="2021-03-25T09:11:22.26" personId="{9588D1FF-0CCF-42AB-96C8-1FA35CC20CBE}" id="{1AD30740-48EB-4D25-A7C4-9E1FDAA6A2A2}">
    <text>Här lyfter du in den årliga kostnaden du räknat ut i tabellen till vänster, år för år.</text>
  </threadedComment>
  <threadedComment ref="C23" dT="2021-03-25T09:04:47.36" personId="{9588D1FF-0CCF-42AB-96C8-1FA35CC20CBE}" id="{D06B1A48-4F12-4CDF-A936-B4D007797537}">
    <text>I fälten till höger anger du den årliga kostnaden i SEK som du räknat fram med hjälp av tabellen.</text>
  </threadedComment>
  <threadedComment ref="G56" dT="2022-04-25T14:04:13.69" personId="{9588D1FF-0CCF-42AB-96C8-1FA35CC20CBE}" id="{3B4BEF2B-75B2-4010-B263-C827F8497C99}">
    <text>Vi har inte bekräftade uppgifter på kostnaden men 15 öre är troligtvis inte  lågt räknat, i alla fall.</text>
  </threadedComment>
  <threadedComment ref="G57" dT="2022-04-03T22:05:31.25" personId="{9588D1FF-0CCF-42AB-96C8-1FA35CC20CBE}" id="{A16C6C8C-CFBA-4D3D-BA07-0F7B66736589}">
    <text>Detta borde kanske vara högre då ganska många lägger på i kön - så vissa kommer att identifiera sig "i onödan" och dra en kostnad för det.</text>
  </threadedComment>
  <threadedComment ref="G58" dT="2022-04-03T22:07:37.61" personId="{9588D1FF-0CCF-42AB-96C8-1FA35CC20CBE}" id="{4BF91E92-0B33-499D-A3BF-C9C0F66CDFE2}">
    <text>Obs! Max-kostnaden låg eftersom den används i osäkerhetsanalysen för min som är minsta nytta - max kostnad, men just den här kostnaden är kopplad till användningen och bör därför vara minsta kostnaden, om grafen för osäkerhet ska stämma.</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1-03-25T10:55:39.56" personId="{9588D1FF-0CCF-42AB-96C8-1FA35CC20CBE}" id="{1B90C4CE-B528-44CD-81CD-24CFEA7B47EE}">
    <text>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ext>
  </threadedComment>
  <threadedComment ref="F5" dT="2021-03-25T10:31:36.40" personId="{9588D1FF-0CCF-42AB-96C8-1FA35CC20CBE}" id="{BCE437C7-44AF-433A-9056-7857DA54E2B8}">
    <text>Diskonteringsräntan minskar värdet av framtida nyttor och kostnader. Du kan justera diskonteringsräntan på fliken Försättsblad.</text>
  </threadedComment>
  <threadedComment ref="M9" dT="2021-03-25T10:48:44.82" personId="{9588D1FF-0CCF-42AB-96C8-1FA35CC20CBE}" id="{8A797C44-B783-4003-A577-32E52CD789BF}">
    <text>Här beräknas osäkerheten utifrån vad du angett för min- och max. Det kan hjälpa er att se var den största osäkerheten finns. Formlen är (min/max)/5/Troligt värde).</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5-14T18:53:03.50" personId="{9588D1FF-0CCF-42AB-96C8-1FA35CC20CBE}" id="{6D5C3650-EEC9-4235-8882-070EBAB7D37F}">
    <text>Om du har uppdaterat dina beräkningar kan du se resultatet nedan genom att klicka på  "Uppdatera alla" under fliken Data. Du kan behöva markera en cell i den här fliken först.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vmlDrawing" Target="../drawings/vmlDrawing6.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6.xml"/><Relationship Id="rId4" Type="http://schemas.openxmlformats.org/officeDocument/2006/relationships/pivotTable" Target="../pivotTables/pivotTable4.xml"/><Relationship Id="rId9"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rinterSettings" Target="../printerSettings/printerSettings7.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2" Type="http://schemas.openxmlformats.org/officeDocument/2006/relationships/pivotTable" Target="../pivotTables/pivotTable6.xml"/><Relationship Id="rId16" Type="http://schemas.openxmlformats.org/officeDocument/2006/relationships/table" Target="../tables/table4.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table" Target="../tables/table3.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0" tint="-0.499984740745262"/>
  </sheetPr>
  <dimension ref="A1:T45"/>
  <sheetViews>
    <sheetView showGridLines="0" zoomScaleNormal="100" workbookViewId="0">
      <pane ySplit="2" topLeftCell="A3" activePane="bottomLeft" state="frozen"/>
      <selection pane="bottomLeft" activeCell="H28" sqref="H28"/>
    </sheetView>
  </sheetViews>
  <sheetFormatPr defaultRowHeight="12.75" x14ac:dyDescent="0.2"/>
  <cols>
    <col min="1" max="1" width="9.7109375" style="14" customWidth="1"/>
    <col min="2" max="2" width="38.140625" style="14" bestFit="1" customWidth="1"/>
    <col min="3" max="3" width="17.42578125" style="14" bestFit="1" customWidth="1"/>
    <col min="4" max="4" width="22.5703125" style="14" customWidth="1"/>
    <col min="5" max="5" width="48.85546875" style="14" customWidth="1"/>
    <col min="6" max="8" width="9.140625" style="14"/>
    <col min="9" max="10" width="9.140625" style="85"/>
    <col min="11" max="16384" width="9.140625" style="14"/>
  </cols>
  <sheetData>
    <row r="1" spans="1:20" s="76" customFormat="1" ht="15.75" x14ac:dyDescent="0.2">
      <c r="A1" s="100"/>
      <c r="B1" s="101" t="s">
        <v>48</v>
      </c>
      <c r="C1" s="102" t="s">
        <v>160</v>
      </c>
      <c r="D1" s="103"/>
      <c r="E1" s="100"/>
      <c r="F1" s="100"/>
      <c r="G1" s="100"/>
      <c r="H1" s="100"/>
      <c r="I1" s="100"/>
      <c r="J1" s="100"/>
      <c r="K1" s="100"/>
      <c r="L1" s="100"/>
      <c r="M1" s="100"/>
      <c r="N1" s="100"/>
      <c r="O1" s="100"/>
      <c r="P1" s="100"/>
      <c r="Q1" s="100"/>
      <c r="R1" s="100"/>
      <c r="S1" s="100"/>
      <c r="T1" s="100"/>
    </row>
    <row r="2" spans="1:20" s="11" customFormat="1" x14ac:dyDescent="0.2">
      <c r="A2" s="104"/>
      <c r="B2" s="105" t="str">
        <f>IF(C6=0,"",C6)</f>
        <v>Möjlighet till elektoronisk identifiering av de som ringer 1177</v>
      </c>
      <c r="C2" s="106"/>
      <c r="D2" s="104"/>
      <c r="E2" s="107"/>
      <c r="F2" s="107"/>
      <c r="G2" s="108"/>
      <c r="H2" s="108"/>
      <c r="I2" s="108"/>
      <c r="J2" s="108"/>
      <c r="K2" s="108"/>
      <c r="L2" s="108"/>
      <c r="M2" s="108"/>
      <c r="N2" s="108"/>
      <c r="O2" s="108"/>
      <c r="P2" s="108"/>
      <c r="Q2" s="108"/>
      <c r="R2" s="108"/>
      <c r="S2" s="108"/>
      <c r="T2" s="108"/>
    </row>
    <row r="3" spans="1:20" x14ac:dyDescent="0.2">
      <c r="K3" s="98"/>
      <c r="L3" s="98"/>
      <c r="M3" s="98"/>
      <c r="N3" s="98"/>
      <c r="O3" s="98"/>
      <c r="P3" s="98"/>
      <c r="Q3" s="98"/>
      <c r="R3" s="98"/>
      <c r="S3" s="98"/>
      <c r="T3" s="98"/>
    </row>
    <row r="4" spans="1:20" x14ac:dyDescent="0.2">
      <c r="K4" s="98"/>
      <c r="L4" s="98"/>
      <c r="M4" s="98"/>
      <c r="N4" s="98"/>
      <c r="O4" s="98"/>
      <c r="P4" s="98"/>
      <c r="Q4" s="98"/>
      <c r="R4" s="98"/>
      <c r="S4" s="98"/>
      <c r="T4" s="98"/>
    </row>
    <row r="5" spans="1:20" x14ac:dyDescent="0.2">
      <c r="K5" s="98"/>
      <c r="L5" s="98"/>
      <c r="M5" s="98"/>
      <c r="N5" s="98"/>
      <c r="O5" s="98"/>
      <c r="P5" s="98"/>
      <c r="Q5" s="98"/>
      <c r="R5" s="98"/>
      <c r="S5" s="98"/>
      <c r="T5" s="98"/>
    </row>
    <row r="6" spans="1:20" x14ac:dyDescent="0.2">
      <c r="B6" s="35" t="s">
        <v>53</v>
      </c>
      <c r="C6" s="303" t="s">
        <v>163</v>
      </c>
      <c r="D6" s="304"/>
      <c r="E6" s="305"/>
      <c r="K6" s="98"/>
      <c r="L6" s="98"/>
      <c r="M6" s="98"/>
      <c r="N6" s="98"/>
      <c r="O6" s="98"/>
      <c r="P6" s="98"/>
      <c r="Q6" s="98"/>
      <c r="R6" s="98"/>
      <c r="S6" s="98"/>
      <c r="T6" s="98"/>
    </row>
    <row r="7" spans="1:20" x14ac:dyDescent="0.2">
      <c r="C7" s="22"/>
      <c r="K7" s="98"/>
      <c r="L7" s="98"/>
      <c r="M7" s="98"/>
      <c r="N7" s="98"/>
      <c r="O7" s="98"/>
      <c r="P7" s="98"/>
      <c r="Q7" s="98"/>
      <c r="R7" s="98"/>
      <c r="S7" s="98"/>
      <c r="T7" s="98"/>
    </row>
    <row r="8" spans="1:20" x14ac:dyDescent="0.2">
      <c r="B8" s="23" t="s">
        <v>9</v>
      </c>
      <c r="C8" s="24">
        <v>2022</v>
      </c>
      <c r="K8" s="98"/>
      <c r="L8" s="98"/>
      <c r="M8" s="98"/>
      <c r="N8" s="98"/>
      <c r="O8" s="98"/>
      <c r="P8" s="98"/>
      <c r="Q8" s="98"/>
      <c r="R8" s="98"/>
      <c r="S8" s="98"/>
      <c r="T8" s="98"/>
    </row>
    <row r="9" spans="1:20" x14ac:dyDescent="0.2">
      <c r="B9" s="23" t="s">
        <v>51</v>
      </c>
      <c r="C9" s="28">
        <v>0.03</v>
      </c>
      <c r="K9" s="98"/>
      <c r="L9" s="98"/>
      <c r="M9" s="98"/>
      <c r="N9" s="98"/>
      <c r="O9" s="98"/>
      <c r="P9" s="98"/>
      <c r="Q9" s="98"/>
      <c r="R9" s="98"/>
      <c r="S9" s="98"/>
      <c r="T9" s="98"/>
    </row>
    <row r="10" spans="1:20" x14ac:dyDescent="0.2">
      <c r="K10" s="98"/>
      <c r="L10" s="98"/>
      <c r="M10" s="98"/>
      <c r="N10" s="98"/>
      <c r="O10" s="98"/>
      <c r="P10" s="98"/>
      <c r="Q10" s="98"/>
      <c r="R10" s="98"/>
      <c r="S10" s="98"/>
      <c r="T10" s="98"/>
    </row>
    <row r="11" spans="1:20" x14ac:dyDescent="0.2">
      <c r="B11" s="23" t="s">
        <v>8</v>
      </c>
      <c r="K11" s="98"/>
      <c r="L11" s="98"/>
      <c r="M11" s="98"/>
      <c r="N11" s="98"/>
      <c r="O11" s="98"/>
      <c r="P11" s="98"/>
      <c r="Q11" s="98"/>
      <c r="R11" s="98"/>
      <c r="S11" s="98"/>
      <c r="T11" s="98"/>
    </row>
    <row r="12" spans="1:20" x14ac:dyDescent="0.2">
      <c r="B12" s="21" t="s">
        <v>69</v>
      </c>
      <c r="K12" s="98"/>
      <c r="L12" s="98"/>
      <c r="M12" s="98"/>
      <c r="N12" s="98"/>
      <c r="O12" s="98"/>
      <c r="P12" s="98"/>
      <c r="Q12" s="98"/>
      <c r="R12" s="98"/>
      <c r="S12" s="98"/>
      <c r="T12" s="98"/>
    </row>
    <row r="13" spans="1:20" x14ac:dyDescent="0.2">
      <c r="B13" s="21" t="s">
        <v>164</v>
      </c>
      <c r="K13" s="98"/>
      <c r="L13" s="98"/>
      <c r="M13" s="98"/>
      <c r="N13" s="98"/>
      <c r="O13" s="98"/>
      <c r="P13" s="98"/>
      <c r="Q13" s="98"/>
      <c r="R13" s="98"/>
      <c r="S13" s="98"/>
      <c r="T13" s="98"/>
    </row>
    <row r="14" spans="1:20" x14ac:dyDescent="0.2">
      <c r="B14" s="21"/>
      <c r="K14" s="98"/>
      <c r="L14" s="98"/>
      <c r="M14" s="98"/>
      <c r="N14" s="98"/>
      <c r="O14" s="98"/>
      <c r="P14" s="98"/>
      <c r="Q14" s="98"/>
      <c r="R14" s="98"/>
      <c r="S14" s="98"/>
      <c r="T14" s="98"/>
    </row>
    <row r="15" spans="1:20" x14ac:dyDescent="0.2">
      <c r="B15" s="21"/>
      <c r="K15" s="98"/>
      <c r="L15" s="98"/>
      <c r="M15" s="98"/>
      <c r="N15" s="98"/>
      <c r="O15" s="98"/>
      <c r="P15" s="98"/>
      <c r="Q15" s="98"/>
      <c r="R15" s="98"/>
      <c r="S15" s="98"/>
      <c r="T15" s="98"/>
    </row>
    <row r="16" spans="1:20" x14ac:dyDescent="0.2">
      <c r="B16" s="21"/>
      <c r="K16" s="98"/>
      <c r="L16" s="98"/>
      <c r="M16" s="98"/>
      <c r="N16" s="98"/>
      <c r="O16" s="98"/>
      <c r="P16" s="98"/>
      <c r="Q16" s="98"/>
      <c r="R16" s="98"/>
      <c r="S16" s="98"/>
      <c r="T16" s="98"/>
    </row>
    <row r="17" spans="2:20" x14ac:dyDescent="0.2">
      <c r="B17" s="21"/>
      <c r="K17" s="98"/>
      <c r="L17" s="98"/>
      <c r="M17" s="98"/>
      <c r="N17" s="98"/>
      <c r="O17" s="98"/>
      <c r="P17" s="98"/>
      <c r="Q17" s="98"/>
      <c r="R17" s="98"/>
      <c r="S17" s="98"/>
      <c r="T17" s="98"/>
    </row>
    <row r="18" spans="2:20" x14ac:dyDescent="0.2">
      <c r="B18" s="21"/>
      <c r="K18" s="98"/>
      <c r="L18" s="98"/>
      <c r="M18" s="98"/>
      <c r="N18" s="98"/>
      <c r="O18" s="98"/>
      <c r="P18" s="98"/>
      <c r="Q18" s="98"/>
      <c r="R18" s="98"/>
      <c r="S18" s="98"/>
      <c r="T18" s="98"/>
    </row>
    <row r="19" spans="2:20" x14ac:dyDescent="0.2">
      <c r="B19" s="21"/>
      <c r="E19" s="25"/>
      <c r="K19" s="98"/>
      <c r="L19" s="98"/>
      <c r="M19" s="98"/>
      <c r="N19" s="98"/>
      <c r="O19" s="98"/>
      <c r="P19" s="98"/>
      <c r="Q19" s="98"/>
      <c r="R19" s="98"/>
      <c r="S19" s="98"/>
      <c r="T19" s="98"/>
    </row>
    <row r="20" spans="2:20" x14ac:dyDescent="0.2">
      <c r="B20" s="21"/>
      <c r="E20" s="25"/>
      <c r="K20" s="98"/>
      <c r="L20" s="98"/>
      <c r="M20" s="98"/>
      <c r="N20" s="98"/>
      <c r="O20" s="98"/>
      <c r="P20" s="98"/>
      <c r="Q20" s="98"/>
      <c r="R20" s="98"/>
      <c r="S20" s="98"/>
      <c r="T20" s="98"/>
    </row>
    <row r="21" spans="2:20" x14ac:dyDescent="0.2">
      <c r="B21" s="21"/>
      <c r="K21" s="98"/>
      <c r="L21" s="98"/>
      <c r="M21" s="98"/>
      <c r="N21" s="99"/>
      <c r="O21" s="98"/>
      <c r="P21" s="98"/>
      <c r="Q21" s="98"/>
      <c r="R21" s="98"/>
      <c r="S21" s="98"/>
      <c r="T21" s="98"/>
    </row>
    <row r="22" spans="2:20" x14ac:dyDescent="0.2">
      <c r="B22" s="21"/>
      <c r="K22" s="98"/>
      <c r="L22" s="98"/>
      <c r="M22" s="98"/>
      <c r="N22" s="98"/>
      <c r="O22" s="98"/>
      <c r="P22" s="98"/>
      <c r="Q22" s="98"/>
      <c r="R22" s="98"/>
      <c r="S22" s="98"/>
      <c r="T22" s="98"/>
    </row>
    <row r="23" spans="2:20" x14ac:dyDescent="0.2">
      <c r="B23" s="21"/>
      <c r="K23" s="98"/>
      <c r="L23" s="98"/>
      <c r="M23" s="98"/>
      <c r="N23" s="98"/>
      <c r="O23" s="98"/>
      <c r="P23" s="98"/>
      <c r="Q23" s="98"/>
      <c r="R23" s="98"/>
      <c r="S23" s="98"/>
      <c r="T23" s="98"/>
    </row>
    <row r="24" spans="2:20" x14ac:dyDescent="0.2">
      <c r="B24" s="21"/>
      <c r="K24" s="98"/>
      <c r="L24" s="98"/>
      <c r="M24" s="98"/>
      <c r="N24" s="98"/>
      <c r="O24" s="98"/>
      <c r="P24" s="98"/>
      <c r="Q24" s="98"/>
      <c r="R24" s="98"/>
      <c r="S24" s="98"/>
      <c r="T24" s="98"/>
    </row>
    <row r="25" spans="2:20" x14ac:dyDescent="0.2">
      <c r="B25" s="21"/>
      <c r="K25" s="98"/>
      <c r="L25" s="98"/>
      <c r="M25" s="98"/>
      <c r="N25" s="98"/>
      <c r="O25" s="98"/>
      <c r="P25" s="98"/>
      <c r="Q25" s="98"/>
      <c r="R25" s="98"/>
      <c r="S25" s="98"/>
      <c r="T25" s="98"/>
    </row>
    <row r="26" spans="2:20" x14ac:dyDescent="0.2">
      <c r="K26" s="98"/>
      <c r="L26" s="98"/>
      <c r="M26" s="98"/>
      <c r="N26" s="98"/>
      <c r="O26" s="98"/>
      <c r="P26" s="98"/>
      <c r="Q26" s="98"/>
      <c r="R26" s="98"/>
      <c r="S26" s="98"/>
      <c r="T26" s="98"/>
    </row>
    <row r="27" spans="2:20" x14ac:dyDescent="0.2">
      <c r="K27" s="98"/>
      <c r="L27" s="98"/>
      <c r="M27" s="98"/>
      <c r="N27" s="98"/>
      <c r="O27" s="98"/>
      <c r="P27" s="98"/>
      <c r="Q27" s="98"/>
      <c r="R27" s="98"/>
      <c r="S27" s="98"/>
      <c r="T27" s="98"/>
    </row>
    <row r="28" spans="2:20" x14ac:dyDescent="0.2">
      <c r="K28" s="98"/>
      <c r="L28" s="98"/>
      <c r="M28" s="98"/>
      <c r="N28" s="98"/>
      <c r="O28" s="98"/>
      <c r="P28" s="98"/>
      <c r="Q28" s="98"/>
      <c r="R28" s="98"/>
      <c r="S28" s="98"/>
      <c r="T28" s="98"/>
    </row>
    <row r="29" spans="2:20" x14ac:dyDescent="0.2">
      <c r="K29" s="98"/>
      <c r="L29" s="98"/>
      <c r="M29" s="98"/>
      <c r="N29" s="98"/>
      <c r="O29" s="98"/>
      <c r="P29" s="98"/>
      <c r="Q29" s="98"/>
      <c r="R29" s="98"/>
      <c r="S29" s="98"/>
      <c r="T29" s="98"/>
    </row>
    <row r="30" spans="2:20" x14ac:dyDescent="0.2">
      <c r="K30" s="98"/>
      <c r="L30" s="98"/>
      <c r="M30" s="98"/>
      <c r="N30" s="99"/>
      <c r="O30" s="98"/>
      <c r="P30" s="98"/>
      <c r="Q30" s="98"/>
      <c r="R30" s="98"/>
      <c r="S30" s="98"/>
      <c r="T30" s="98"/>
    </row>
    <row r="31" spans="2:20" x14ac:dyDescent="0.2">
      <c r="B31" s="36" t="s">
        <v>18</v>
      </c>
      <c r="C31" s="36" t="s">
        <v>1</v>
      </c>
      <c r="D31" s="36" t="s">
        <v>19</v>
      </c>
      <c r="E31" s="36" t="s">
        <v>20</v>
      </c>
      <c r="K31" s="98"/>
      <c r="L31" s="98"/>
      <c r="M31" s="98"/>
      <c r="N31" s="98"/>
      <c r="O31" s="98"/>
      <c r="P31" s="98"/>
      <c r="Q31" s="98"/>
      <c r="R31" s="98"/>
      <c r="S31" s="98"/>
      <c r="T31" s="98"/>
    </row>
    <row r="32" spans="2:20" x14ac:dyDescent="0.2">
      <c r="B32" s="37" t="s">
        <v>165</v>
      </c>
      <c r="C32" s="38">
        <v>44655</v>
      </c>
      <c r="D32" s="37" t="s">
        <v>166</v>
      </c>
      <c r="E32" s="37" t="s">
        <v>167</v>
      </c>
      <c r="K32" s="98"/>
      <c r="L32" s="98"/>
      <c r="M32" s="98"/>
      <c r="N32" s="98"/>
      <c r="O32" s="98"/>
      <c r="P32" s="98"/>
      <c r="Q32" s="98"/>
      <c r="R32" s="98"/>
      <c r="S32" s="98"/>
      <c r="T32" s="98"/>
    </row>
    <row r="33" spans="2:20" x14ac:dyDescent="0.2">
      <c r="B33" s="37" t="s">
        <v>192</v>
      </c>
      <c r="C33" s="38">
        <v>44676</v>
      </c>
      <c r="D33" s="37" t="s">
        <v>166</v>
      </c>
      <c r="E33" s="37" t="s">
        <v>193</v>
      </c>
      <c r="K33" s="98"/>
      <c r="L33" s="98"/>
      <c r="M33" s="98"/>
      <c r="N33" s="98"/>
      <c r="O33" s="98"/>
      <c r="P33" s="98"/>
      <c r="Q33" s="98"/>
      <c r="R33" s="98"/>
      <c r="S33" s="98"/>
      <c r="T33" s="98"/>
    </row>
    <row r="34" spans="2:20" x14ac:dyDescent="0.2">
      <c r="B34" s="37"/>
      <c r="C34" s="38"/>
      <c r="D34" s="37"/>
      <c r="E34" s="37"/>
      <c r="K34" s="98"/>
      <c r="L34" s="98"/>
      <c r="M34" s="98"/>
      <c r="N34" s="98"/>
      <c r="O34" s="98"/>
      <c r="P34" s="98"/>
      <c r="Q34" s="98"/>
      <c r="R34" s="98"/>
      <c r="S34" s="98"/>
      <c r="T34" s="98"/>
    </row>
    <row r="35" spans="2:20" x14ac:dyDescent="0.2">
      <c r="B35" s="37"/>
      <c r="C35" s="38"/>
      <c r="D35" s="37"/>
      <c r="E35" s="37"/>
      <c r="K35" s="98"/>
      <c r="L35" s="98"/>
      <c r="M35" s="98"/>
      <c r="N35" s="98"/>
      <c r="O35" s="98"/>
      <c r="P35" s="98"/>
      <c r="Q35" s="98"/>
      <c r="R35" s="98"/>
      <c r="S35" s="98"/>
      <c r="T35" s="98"/>
    </row>
    <row r="36" spans="2:20" x14ac:dyDescent="0.2">
      <c r="B36" s="39"/>
      <c r="C36" s="40"/>
      <c r="D36" s="39"/>
      <c r="E36" s="39"/>
      <c r="K36" s="98"/>
      <c r="L36" s="98"/>
      <c r="M36" s="98"/>
      <c r="N36" s="98"/>
      <c r="O36" s="98"/>
      <c r="P36" s="98"/>
      <c r="Q36" s="98"/>
      <c r="R36" s="98"/>
      <c r="S36" s="98"/>
      <c r="T36" s="98"/>
    </row>
    <row r="37" spans="2:20" x14ac:dyDescent="0.2">
      <c r="B37" s="39"/>
      <c r="C37" s="40"/>
      <c r="D37" s="39"/>
      <c r="E37" s="39"/>
      <c r="K37" s="98"/>
      <c r="L37" s="98"/>
      <c r="M37" s="98"/>
      <c r="N37" s="98"/>
      <c r="O37" s="98"/>
      <c r="P37" s="98"/>
      <c r="Q37" s="98"/>
      <c r="R37" s="98"/>
      <c r="S37" s="98"/>
      <c r="T37" s="98"/>
    </row>
    <row r="38" spans="2:20" x14ac:dyDescent="0.2">
      <c r="K38" s="98"/>
      <c r="L38" s="98"/>
      <c r="M38" s="98"/>
      <c r="N38" s="98"/>
      <c r="O38" s="98"/>
      <c r="P38" s="98"/>
      <c r="Q38" s="98"/>
      <c r="R38" s="98"/>
      <c r="S38" s="98"/>
      <c r="T38" s="98"/>
    </row>
    <row r="39" spans="2:20" x14ac:dyDescent="0.2">
      <c r="K39" s="98"/>
      <c r="L39" s="98"/>
      <c r="M39" s="98"/>
      <c r="N39" s="98"/>
      <c r="O39" s="98"/>
      <c r="P39" s="98"/>
      <c r="Q39" s="98"/>
      <c r="R39" s="98"/>
      <c r="S39" s="98"/>
      <c r="T39" s="98"/>
    </row>
    <row r="40" spans="2:20" x14ac:dyDescent="0.2">
      <c r="K40" s="98"/>
      <c r="L40" s="98"/>
      <c r="M40" s="98"/>
      <c r="N40" s="98"/>
      <c r="O40" s="98"/>
      <c r="P40" s="98"/>
      <c r="Q40" s="98"/>
      <c r="R40" s="98"/>
      <c r="S40" s="98"/>
      <c r="T40" s="98"/>
    </row>
    <row r="41" spans="2:20" x14ac:dyDescent="0.2">
      <c r="K41" s="98"/>
      <c r="L41" s="98"/>
      <c r="M41" s="98"/>
      <c r="N41" s="98"/>
      <c r="O41" s="98"/>
      <c r="P41" s="98"/>
      <c r="Q41" s="98"/>
      <c r="R41" s="98"/>
      <c r="S41" s="98"/>
      <c r="T41" s="98"/>
    </row>
    <row r="42" spans="2:20" x14ac:dyDescent="0.2">
      <c r="K42" s="98"/>
      <c r="L42" s="98"/>
      <c r="M42" s="98"/>
      <c r="N42" s="98"/>
      <c r="O42" s="98"/>
      <c r="P42" s="98"/>
      <c r="Q42" s="98"/>
      <c r="R42" s="98"/>
      <c r="S42" s="98"/>
      <c r="T42" s="98"/>
    </row>
    <row r="43" spans="2:20" x14ac:dyDescent="0.2">
      <c r="K43" s="98"/>
      <c r="L43" s="98"/>
      <c r="M43" s="98"/>
      <c r="N43" s="98"/>
      <c r="O43" s="98"/>
      <c r="P43" s="98"/>
      <c r="Q43" s="98"/>
      <c r="R43" s="98"/>
      <c r="S43" s="98"/>
      <c r="T43" s="98"/>
    </row>
    <row r="44" spans="2:20" x14ac:dyDescent="0.2">
      <c r="K44" s="98"/>
      <c r="L44" s="98"/>
      <c r="M44" s="98"/>
      <c r="N44" s="98"/>
      <c r="O44" s="98"/>
      <c r="P44" s="98"/>
      <c r="Q44" s="98"/>
      <c r="R44" s="98"/>
      <c r="S44" s="98"/>
      <c r="T44" s="98"/>
    </row>
    <row r="45" spans="2:20" x14ac:dyDescent="0.2">
      <c r="K45" s="98"/>
      <c r="L45" s="98"/>
      <c r="M45" s="98"/>
      <c r="N45" s="98"/>
      <c r="O45" s="98"/>
      <c r="P45" s="98"/>
      <c r="Q45" s="98"/>
      <c r="R45" s="98"/>
      <c r="S45" s="98"/>
      <c r="T45" s="98"/>
    </row>
  </sheetData>
  <sheetProtection selectLockedCells="1"/>
  <mergeCells count="1">
    <mergeCell ref="C6:E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3"/>
  </sheetPr>
  <dimension ref="A1:XFA346"/>
  <sheetViews>
    <sheetView showGridLines="0" zoomScale="90" zoomScaleNormal="90" workbookViewId="0">
      <pane ySplit="2" topLeftCell="A3" activePane="bottomLeft" state="frozen"/>
      <selection activeCell="B1" sqref="B1"/>
      <selection pane="bottomLeft" activeCell="K33" sqref="K33"/>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5" width="15.7109375" style="33" customWidth="1"/>
    <col min="16" max="16" width="16.28515625" style="33" bestFit="1"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86"/>
      <c r="B1" s="86"/>
      <c r="C1" s="87" t="s">
        <v>63</v>
      </c>
      <c r="D1" s="88"/>
      <c r="E1" s="89"/>
      <c r="F1" s="90"/>
      <c r="G1" s="89"/>
      <c r="H1" s="89"/>
      <c r="I1" s="89"/>
      <c r="J1" s="91"/>
      <c r="K1" s="86"/>
      <c r="L1" s="92"/>
      <c r="M1" s="92"/>
      <c r="N1" s="92"/>
      <c r="O1" s="92"/>
      <c r="P1" s="92"/>
      <c r="Q1" s="92"/>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90"/>
      <c r="B2" s="90"/>
      <c r="C2" s="93" t="str">
        <f>IF(Försättsblad!C6=0,"",Försättsblad!C6)</f>
        <v>Möjlighet till elektoronisk identifiering av de som ringer 1177</v>
      </c>
      <c r="D2" s="94"/>
      <c r="E2" s="89"/>
      <c r="F2" s="86"/>
      <c r="G2" s="89"/>
      <c r="H2" s="89"/>
      <c r="I2" s="89"/>
      <c r="J2" s="91"/>
      <c r="K2" s="86"/>
      <c r="L2" s="92"/>
      <c r="M2" s="92"/>
      <c r="N2" s="95"/>
      <c r="O2" s="95"/>
      <c r="P2" s="92"/>
      <c r="Q2" s="95"/>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78"/>
      <c r="E4" s="178"/>
      <c r="F4" s="178"/>
      <c r="G4" s="178"/>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23">
        <v>1</v>
      </c>
      <c r="B5" s="41"/>
      <c r="C5" s="123" t="s">
        <v>60</v>
      </c>
      <c r="D5" s="179" t="s">
        <v>168</v>
      </c>
      <c r="E5" s="180"/>
      <c r="F5" s="180"/>
      <c r="G5" s="181"/>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51" t="s">
        <v>7</v>
      </c>
      <c r="D6" s="177" t="s">
        <v>69</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23" t="s">
        <v>17</v>
      </c>
      <c r="D7" s="124" t="s">
        <v>34</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23" t="s">
        <v>57</v>
      </c>
      <c r="D9" s="23" t="s">
        <v>54</v>
      </c>
      <c r="E9" s="23" t="s">
        <v>2</v>
      </c>
      <c r="F9" s="23" t="s">
        <v>3</v>
      </c>
      <c r="G9" s="23" t="s">
        <v>42</v>
      </c>
      <c r="Q9" s="44"/>
      <c r="R9" s="44"/>
    </row>
    <row r="10" spans="1:16381" ht="13.5" customHeight="1" x14ac:dyDescent="0.2">
      <c r="B10" s="26"/>
      <c r="C10" s="287" t="s">
        <v>170</v>
      </c>
      <c r="D10" s="287">
        <f>121500*2</f>
        <v>243000</v>
      </c>
      <c r="E10" s="287">
        <f t="shared" ref="E10:F10" si="0">121500*2</f>
        <v>243000</v>
      </c>
      <c r="F10" s="287">
        <f t="shared" si="0"/>
        <v>243000</v>
      </c>
      <c r="G10" s="287" t="s">
        <v>169</v>
      </c>
      <c r="Q10" s="44"/>
      <c r="R10" s="44"/>
    </row>
    <row r="11" spans="1:16381" ht="13.5" customHeight="1" x14ac:dyDescent="0.2">
      <c r="C11" s="287" t="s">
        <v>171</v>
      </c>
      <c r="D11" s="287">
        <f>D10*12</f>
        <v>2916000</v>
      </c>
      <c r="E11" s="287">
        <f t="shared" ref="E11:F11" si="1">E10*12</f>
        <v>2916000</v>
      </c>
      <c r="F11" s="287">
        <f t="shared" si="1"/>
        <v>2916000</v>
      </c>
      <c r="G11" s="287"/>
      <c r="H11" s="47"/>
      <c r="Q11" s="44"/>
      <c r="R11" s="44"/>
    </row>
    <row r="12" spans="1:16381" ht="13.5" customHeight="1" x14ac:dyDescent="0.2">
      <c r="C12" s="287" t="s">
        <v>172</v>
      </c>
      <c r="D12" s="288">
        <v>0.5</v>
      </c>
      <c r="E12" s="288">
        <v>0.1</v>
      </c>
      <c r="F12" s="288">
        <v>0.5</v>
      </c>
      <c r="G12" s="287" t="s">
        <v>169</v>
      </c>
      <c r="H12" s="47"/>
      <c r="Q12" s="44"/>
      <c r="R12" s="44"/>
    </row>
    <row r="13" spans="1:16381" ht="13.5" customHeight="1" x14ac:dyDescent="0.2">
      <c r="C13" s="287" t="s">
        <v>173</v>
      </c>
      <c r="D13" s="287">
        <f>D12*D11</f>
        <v>1458000</v>
      </c>
      <c r="E13" s="287">
        <f t="shared" ref="E13:F13" si="2">E12*E11</f>
        <v>291600</v>
      </c>
      <c r="F13" s="287">
        <f t="shared" si="2"/>
        <v>1458000</v>
      </c>
      <c r="G13" s="287"/>
      <c r="H13" s="47"/>
      <c r="I13" s="53"/>
      <c r="J13" s="54"/>
      <c r="K13" s="54"/>
      <c r="L13" s="54"/>
      <c r="P13" s="34"/>
      <c r="Q13" s="44"/>
      <c r="R13" s="44"/>
    </row>
    <row r="14" spans="1:16381" ht="13.5" customHeight="1" x14ac:dyDescent="0.2">
      <c r="C14" s="287" t="s">
        <v>174</v>
      </c>
      <c r="D14" s="287">
        <v>1</v>
      </c>
      <c r="E14" s="287">
        <v>1</v>
      </c>
      <c r="F14" s="287">
        <v>1</v>
      </c>
      <c r="G14" s="287" t="s">
        <v>169</v>
      </c>
      <c r="H14" s="47"/>
      <c r="J14" s="44"/>
      <c r="L14" s="44"/>
      <c r="M14" s="44"/>
      <c r="N14" s="44"/>
      <c r="O14" s="44"/>
      <c r="P14" s="44"/>
      <c r="Q14" s="44"/>
      <c r="R14" s="44"/>
    </row>
    <row r="15" spans="1:16381" ht="13.5" customHeight="1" x14ac:dyDescent="0.2">
      <c r="C15" s="287" t="s">
        <v>175</v>
      </c>
      <c r="D15" s="287">
        <f>D14*D13</f>
        <v>1458000</v>
      </c>
      <c r="E15" s="287">
        <f t="shared" ref="E15:F15" si="3">E14*E13</f>
        <v>291600</v>
      </c>
      <c r="F15" s="287">
        <f t="shared" si="3"/>
        <v>1458000</v>
      </c>
      <c r="G15" s="287"/>
      <c r="H15" s="47"/>
      <c r="J15" s="44"/>
      <c r="L15" s="44"/>
      <c r="M15" s="44"/>
      <c r="N15" s="44"/>
      <c r="O15" s="44"/>
      <c r="P15" s="44"/>
      <c r="Q15" s="44"/>
      <c r="R15" s="44"/>
    </row>
    <row r="16" spans="1:16381" ht="13.5" customHeight="1" x14ac:dyDescent="0.2">
      <c r="C16" s="287" t="s">
        <v>176</v>
      </c>
      <c r="D16" s="288">
        <v>6</v>
      </c>
      <c r="E16" s="288">
        <v>6</v>
      </c>
      <c r="F16" s="288">
        <v>6</v>
      </c>
      <c r="G16" s="287"/>
      <c r="H16" s="47"/>
      <c r="J16" s="44"/>
      <c r="L16" s="44"/>
      <c r="M16" s="44"/>
      <c r="N16" s="44"/>
      <c r="O16" s="44"/>
      <c r="P16" s="44"/>
      <c r="Q16" s="44"/>
      <c r="R16" s="44"/>
    </row>
    <row r="17" spans="1:18" ht="13.5" customHeight="1" x14ac:dyDescent="0.2">
      <c r="C17" s="287" t="s">
        <v>177</v>
      </c>
      <c r="D17" s="288">
        <f>D15/D16</f>
        <v>243000</v>
      </c>
      <c r="E17" s="288">
        <f t="shared" ref="E17:F17" si="4">E15/E16</f>
        <v>48600</v>
      </c>
      <c r="F17" s="288">
        <f t="shared" si="4"/>
        <v>243000</v>
      </c>
      <c r="G17" s="287"/>
      <c r="H17" s="47"/>
      <c r="J17" s="44"/>
      <c r="L17" s="44"/>
      <c r="M17" s="44"/>
      <c r="N17" s="44"/>
      <c r="O17" s="44"/>
      <c r="P17" s="44"/>
      <c r="Q17" s="44"/>
      <c r="R17" s="44"/>
    </row>
    <row r="18" spans="1:18" ht="13.5" customHeight="1" x14ac:dyDescent="0.2">
      <c r="C18" s="287"/>
      <c r="D18" s="288"/>
      <c r="E18" s="288"/>
      <c r="F18" s="288"/>
      <c r="G18" s="287"/>
      <c r="H18" s="47"/>
      <c r="J18" s="44"/>
      <c r="L18" s="44"/>
      <c r="M18" s="44"/>
      <c r="N18" s="44"/>
      <c r="O18" s="44"/>
      <c r="P18" s="44"/>
      <c r="Q18" s="44"/>
      <c r="R18" s="44"/>
    </row>
    <row r="19" spans="1:18" ht="13.5" customHeight="1" x14ac:dyDescent="0.2">
      <c r="C19" s="287" t="s">
        <v>178</v>
      </c>
      <c r="D19" s="288">
        <f>D15/60</f>
        <v>24300</v>
      </c>
      <c r="E19" s="288">
        <f t="shared" ref="E19:F19" si="5">E15/60</f>
        <v>4860</v>
      </c>
      <c r="F19" s="288">
        <f t="shared" si="5"/>
        <v>24300</v>
      </c>
      <c r="G19" s="287"/>
      <c r="H19" s="47"/>
      <c r="I19" s="23" t="s">
        <v>56</v>
      </c>
      <c r="J19" s="23">
        <f>Startår</f>
        <v>2022</v>
      </c>
      <c r="K19" s="23">
        <f>J19+1</f>
        <v>2023</v>
      </c>
      <c r="L19" s="23">
        <f>K19+1</f>
        <v>2024</v>
      </c>
      <c r="M19" s="23">
        <f>L19+1</f>
        <v>2025</v>
      </c>
      <c r="N19" s="23">
        <f>M19+1</f>
        <v>2026</v>
      </c>
      <c r="O19" s="23">
        <f>N19+1</f>
        <v>2027</v>
      </c>
      <c r="P19" s="57" t="s">
        <v>10</v>
      </c>
      <c r="Q19" s="44"/>
      <c r="R19" s="44"/>
    </row>
    <row r="20" spans="1:18" ht="13.5" customHeight="1" thickBot="1" x14ac:dyDescent="0.25">
      <c r="C20" s="287" t="s">
        <v>179</v>
      </c>
      <c r="D20" s="288">
        <v>403</v>
      </c>
      <c r="E20" s="288">
        <v>403</v>
      </c>
      <c r="F20" s="288">
        <v>403</v>
      </c>
      <c r="G20" s="287" t="s">
        <v>190</v>
      </c>
      <c r="H20" s="47"/>
      <c r="I20" s="23" t="s">
        <v>15</v>
      </c>
      <c r="J20" s="52"/>
      <c r="K20" s="52">
        <f>$D$23</f>
        <v>9792900</v>
      </c>
      <c r="L20" s="52">
        <f>$D$23</f>
        <v>9792900</v>
      </c>
      <c r="M20" s="52">
        <f t="shared" ref="M20:O20" si="6">$D$23</f>
        <v>9792900</v>
      </c>
      <c r="N20" s="52">
        <f t="shared" si="6"/>
        <v>9792900</v>
      </c>
      <c r="O20" s="52">
        <f t="shared" si="6"/>
        <v>9792900</v>
      </c>
      <c r="P20" s="58">
        <f>SUM(J20:O20)</f>
        <v>48964500</v>
      </c>
      <c r="Q20" s="44"/>
      <c r="R20" s="44"/>
    </row>
    <row r="21" spans="1:18" ht="13.5" customHeight="1" thickTop="1" thickBot="1" x14ac:dyDescent="0.25">
      <c r="C21" s="289" t="s">
        <v>180</v>
      </c>
      <c r="D21" s="288">
        <f>D19*D20</f>
        <v>9792900</v>
      </c>
      <c r="E21" s="288">
        <f t="shared" ref="E21:F21" si="7">E19*E20</f>
        <v>1958580</v>
      </c>
      <c r="F21" s="288">
        <f t="shared" si="7"/>
        <v>9792900</v>
      </c>
      <c r="G21" s="287"/>
      <c r="H21" s="47"/>
      <c r="I21" s="23" t="s">
        <v>55</v>
      </c>
      <c r="J21" s="52"/>
      <c r="K21" s="52">
        <f>$E$23</f>
        <v>1958580</v>
      </c>
      <c r="L21" s="52">
        <f>$E$23</f>
        <v>1958580</v>
      </c>
      <c r="M21" s="52">
        <f t="shared" ref="M21:O21" si="8">$E$23</f>
        <v>1958580</v>
      </c>
      <c r="N21" s="52">
        <f t="shared" si="8"/>
        <v>1958580</v>
      </c>
      <c r="O21" s="52">
        <f t="shared" si="8"/>
        <v>1958580</v>
      </c>
      <c r="P21" s="59">
        <f>SUM(J21:O21)</f>
        <v>9792900</v>
      </c>
      <c r="Q21" s="44"/>
      <c r="R21" s="44"/>
    </row>
    <row r="22" spans="1:18" ht="13.5" customHeight="1" thickTop="1" thickBot="1" x14ac:dyDescent="0.25">
      <c r="C22" s="287"/>
      <c r="D22" s="288"/>
      <c r="E22" s="288"/>
      <c r="F22" s="288"/>
      <c r="G22" s="287"/>
      <c r="H22" s="47"/>
      <c r="I22" s="23" t="s">
        <v>3</v>
      </c>
      <c r="J22" s="52"/>
      <c r="K22" s="52">
        <f>$F$23</f>
        <v>9792900</v>
      </c>
      <c r="L22" s="52">
        <f>$F$23</f>
        <v>9792900</v>
      </c>
      <c r="M22" s="52">
        <f t="shared" ref="M22:O22" si="9">$F$23</f>
        <v>9792900</v>
      </c>
      <c r="N22" s="52">
        <f t="shared" si="9"/>
        <v>9792900</v>
      </c>
      <c r="O22" s="52">
        <f t="shared" si="9"/>
        <v>9792900</v>
      </c>
      <c r="P22" s="60">
        <f>SUM(J22:O22)</f>
        <v>48964500</v>
      </c>
      <c r="Q22" s="44"/>
      <c r="R22" s="44"/>
    </row>
    <row r="23" spans="1:18" ht="13.5" customHeight="1" thickTop="1" x14ac:dyDescent="0.2">
      <c r="C23" s="50" t="s">
        <v>58</v>
      </c>
      <c r="D23" s="302">
        <f>D21</f>
        <v>9792900</v>
      </c>
      <c r="E23" s="302">
        <f t="shared" ref="E23:F23" si="10">E21</f>
        <v>1958580</v>
      </c>
      <c r="F23" s="302">
        <f t="shared" si="10"/>
        <v>9792900</v>
      </c>
      <c r="G23" s="29"/>
      <c r="H23" s="48"/>
      <c r="J23" s="44"/>
      <c r="L23" s="44"/>
      <c r="M23" s="44"/>
      <c r="N23" s="44"/>
      <c r="O23" s="44"/>
      <c r="P23" s="44"/>
      <c r="Q23" s="44"/>
      <c r="R23" s="44"/>
    </row>
    <row r="24" spans="1:18" ht="13.5" customHeight="1" x14ac:dyDescent="0.2">
      <c r="J24" s="44"/>
      <c r="L24" s="44"/>
      <c r="M24" s="44"/>
      <c r="N24" s="44"/>
      <c r="O24" s="44"/>
      <c r="P24" s="44"/>
      <c r="Q24" s="44"/>
      <c r="R24" s="44"/>
    </row>
    <row r="25" spans="1:18" ht="13.5" customHeight="1" x14ac:dyDescent="0.2">
      <c r="I25" s="53"/>
      <c r="J25" s="33"/>
      <c r="K25" s="33"/>
      <c r="P25" s="34"/>
      <c r="Q25" s="44"/>
      <c r="R25" s="44"/>
    </row>
    <row r="26" spans="1:18" ht="13.5" customHeight="1" x14ac:dyDescent="0.2">
      <c r="Q26" s="44"/>
      <c r="R26" s="44"/>
    </row>
    <row r="27" spans="1:18" ht="12.75" x14ac:dyDescent="0.2">
      <c r="A27" s="23">
        <v>2</v>
      </c>
      <c r="B27" s="41"/>
      <c r="C27" s="123" t="s">
        <v>60</v>
      </c>
      <c r="D27" s="179"/>
      <c r="E27" s="180"/>
      <c r="F27" s="180"/>
      <c r="G27" s="181"/>
      <c r="Q27" s="44"/>
      <c r="R27" s="44"/>
    </row>
    <row r="28" spans="1:18" ht="13.5" customHeight="1" x14ac:dyDescent="0.2">
      <c r="B28" s="41"/>
      <c r="C28" s="51" t="s">
        <v>7</v>
      </c>
      <c r="D28" s="96"/>
      <c r="H28" s="41"/>
      <c r="Q28" s="44"/>
      <c r="R28" s="44"/>
    </row>
    <row r="29" spans="1:18" ht="13.5" customHeight="1" x14ac:dyDescent="0.2">
      <c r="B29" s="41"/>
      <c r="C29" s="23" t="s">
        <v>17</v>
      </c>
      <c r="D29" s="124"/>
      <c r="H29" s="46"/>
      <c r="Q29" s="44"/>
      <c r="R29" s="44"/>
    </row>
    <row r="30" spans="1:18" ht="13.5" customHeight="1" x14ac:dyDescent="0.2">
      <c r="A30" s="41"/>
      <c r="B30" s="41"/>
      <c r="H30" s="41"/>
      <c r="Q30" s="44"/>
      <c r="R30" s="44"/>
    </row>
    <row r="31" spans="1:18" ht="13.5" customHeight="1" x14ac:dyDescent="0.2">
      <c r="C31" s="23" t="s">
        <v>57</v>
      </c>
      <c r="D31" s="23" t="s">
        <v>54</v>
      </c>
      <c r="E31" s="23" t="s">
        <v>2</v>
      </c>
      <c r="F31" s="23" t="s">
        <v>3</v>
      </c>
      <c r="G31" s="23" t="s">
        <v>42</v>
      </c>
      <c r="Q31" s="44"/>
      <c r="R31" s="44"/>
    </row>
    <row r="32" spans="1:18" ht="13.5" customHeight="1" x14ac:dyDescent="0.2">
      <c r="C32" s="287"/>
      <c r="D32" s="288"/>
      <c r="E32" s="288"/>
      <c r="F32" s="288"/>
      <c r="G32" s="287"/>
      <c r="Q32" s="44"/>
      <c r="R32" s="44"/>
    </row>
    <row r="33" spans="2:18" ht="13.5" customHeight="1" x14ac:dyDescent="0.2">
      <c r="B33" s="26"/>
      <c r="C33" s="287"/>
      <c r="D33" s="288"/>
      <c r="E33" s="288"/>
      <c r="F33" s="288"/>
      <c r="G33" s="287"/>
      <c r="Q33" s="44"/>
      <c r="R33" s="44"/>
    </row>
    <row r="34" spans="2:18" ht="13.5" customHeight="1" x14ac:dyDescent="0.2">
      <c r="C34" s="287"/>
      <c r="D34" s="288"/>
      <c r="E34" s="288"/>
      <c r="F34" s="288"/>
      <c r="G34" s="287"/>
      <c r="H34" s="47"/>
      <c r="Q34" s="44"/>
      <c r="R34" s="44"/>
    </row>
    <row r="35" spans="2:18" ht="13.5" customHeight="1" x14ac:dyDescent="0.2">
      <c r="C35" s="287"/>
      <c r="D35" s="288"/>
      <c r="E35" s="288"/>
      <c r="F35" s="288"/>
      <c r="G35" s="287"/>
      <c r="H35" s="47"/>
      <c r="I35" s="53"/>
      <c r="J35" s="54"/>
      <c r="K35" s="54"/>
      <c r="L35" s="54"/>
      <c r="P35" s="34"/>
      <c r="Q35" s="44"/>
      <c r="R35" s="44"/>
    </row>
    <row r="36" spans="2:18" ht="13.5" customHeight="1" x14ac:dyDescent="0.2">
      <c r="C36" s="287"/>
      <c r="D36" s="288"/>
      <c r="E36" s="288"/>
      <c r="F36" s="288"/>
      <c r="G36" s="287"/>
      <c r="H36" s="47"/>
      <c r="J36" s="44"/>
      <c r="L36" s="44"/>
      <c r="M36" s="44"/>
      <c r="N36" s="44"/>
      <c r="O36" s="44"/>
      <c r="P36" s="44"/>
      <c r="Q36" s="44"/>
      <c r="R36" s="44"/>
    </row>
    <row r="37" spans="2:18" ht="13.5" customHeight="1" x14ac:dyDescent="0.2">
      <c r="C37" s="287"/>
      <c r="D37" s="288"/>
      <c r="E37" s="288"/>
      <c r="F37" s="288"/>
      <c r="G37" s="287"/>
      <c r="H37" s="47"/>
      <c r="J37" s="44"/>
      <c r="L37" s="44"/>
      <c r="M37" s="44"/>
      <c r="N37" s="44"/>
      <c r="O37" s="44"/>
      <c r="P37" s="44"/>
      <c r="Q37" s="44"/>
      <c r="R37" s="44"/>
    </row>
    <row r="38" spans="2:18" ht="13.5" customHeight="1" x14ac:dyDescent="0.2">
      <c r="C38" s="287"/>
      <c r="D38" s="288"/>
      <c r="E38" s="288"/>
      <c r="F38" s="288"/>
      <c r="G38" s="287"/>
      <c r="H38" s="47"/>
      <c r="J38" s="44"/>
      <c r="L38" s="44"/>
      <c r="M38" s="44"/>
      <c r="N38" s="44"/>
      <c r="O38" s="44"/>
      <c r="P38" s="44"/>
      <c r="Q38" s="44"/>
      <c r="R38" s="44"/>
    </row>
    <row r="39" spans="2:18" ht="13.5" customHeight="1" x14ac:dyDescent="0.2">
      <c r="C39" s="287"/>
      <c r="D39" s="288"/>
      <c r="E39" s="288"/>
      <c r="F39" s="288"/>
      <c r="G39" s="287"/>
      <c r="H39" s="47"/>
      <c r="J39" s="44"/>
      <c r="L39" s="44"/>
      <c r="M39" s="44"/>
      <c r="N39" s="44"/>
      <c r="O39" s="44"/>
      <c r="P39" s="44"/>
      <c r="Q39" s="44"/>
      <c r="R39" s="44"/>
    </row>
    <row r="40" spans="2:18" ht="13.5" customHeight="1" x14ac:dyDescent="0.2">
      <c r="C40" s="287"/>
      <c r="D40" s="288"/>
      <c r="E40" s="288"/>
      <c r="F40" s="288"/>
      <c r="G40" s="287"/>
      <c r="H40" s="47"/>
      <c r="J40" s="44"/>
      <c r="L40" s="44"/>
      <c r="M40" s="44"/>
      <c r="N40" s="44"/>
      <c r="O40" s="44"/>
      <c r="P40" s="44"/>
      <c r="Q40" s="44"/>
      <c r="R40" s="44"/>
    </row>
    <row r="41" spans="2:18" ht="13.5" customHeight="1" x14ac:dyDescent="0.2">
      <c r="C41" s="287"/>
      <c r="D41" s="288"/>
      <c r="E41" s="288"/>
      <c r="F41" s="288"/>
      <c r="G41" s="287"/>
      <c r="H41" s="47"/>
      <c r="I41" s="23" t="s">
        <v>56</v>
      </c>
      <c r="J41" s="23">
        <f>Startår</f>
        <v>2022</v>
      </c>
      <c r="K41" s="23">
        <f>J41+1</f>
        <v>2023</v>
      </c>
      <c r="L41" s="23">
        <f>K41+1</f>
        <v>2024</v>
      </c>
      <c r="M41" s="23">
        <f>L41+1</f>
        <v>2025</v>
      </c>
      <c r="N41" s="23">
        <f>M41+1</f>
        <v>2026</v>
      </c>
      <c r="O41" s="23">
        <f>N41+1</f>
        <v>2027</v>
      </c>
      <c r="P41" s="57" t="s">
        <v>10</v>
      </c>
      <c r="Q41" s="44"/>
      <c r="R41" s="44"/>
    </row>
    <row r="42" spans="2:18" ht="13.5" customHeight="1" thickBot="1" x14ac:dyDescent="0.25">
      <c r="C42" s="287"/>
      <c r="D42" s="288"/>
      <c r="E42" s="288"/>
      <c r="F42" s="288"/>
      <c r="G42" s="287"/>
      <c r="H42" s="47"/>
      <c r="I42" s="23" t="s">
        <v>15</v>
      </c>
      <c r="J42" s="52"/>
      <c r="K42" s="52"/>
      <c r="L42" s="52"/>
      <c r="M42" s="52"/>
      <c r="N42" s="52"/>
      <c r="O42" s="52"/>
      <c r="P42" s="58">
        <f>SUM(J42:O42)</f>
        <v>0</v>
      </c>
      <c r="Q42" s="44"/>
      <c r="R42" s="44"/>
    </row>
    <row r="43" spans="2:18" ht="13.5" customHeight="1" thickTop="1" thickBot="1" x14ac:dyDescent="0.25">
      <c r="C43" s="289"/>
      <c r="D43" s="288"/>
      <c r="E43" s="288"/>
      <c r="F43" s="288"/>
      <c r="G43" s="287"/>
      <c r="H43" s="47"/>
      <c r="I43" s="23" t="s">
        <v>55</v>
      </c>
      <c r="J43" s="52"/>
      <c r="K43" s="52"/>
      <c r="L43" s="52"/>
      <c r="M43" s="52"/>
      <c r="N43" s="52"/>
      <c r="O43" s="52"/>
      <c r="P43" s="59">
        <f>SUM(J43:O43)</f>
        <v>0</v>
      </c>
      <c r="Q43" s="44"/>
      <c r="R43" s="44"/>
    </row>
    <row r="44" spans="2:18" ht="13.5" customHeight="1" thickTop="1" thickBot="1" x14ac:dyDescent="0.25">
      <c r="C44" s="287"/>
      <c r="D44" s="288"/>
      <c r="E44" s="288"/>
      <c r="F44" s="288"/>
      <c r="G44" s="287"/>
      <c r="H44" s="47"/>
      <c r="I44" s="23" t="s">
        <v>3</v>
      </c>
      <c r="J44" s="52"/>
      <c r="K44" s="52"/>
      <c r="L44" s="52"/>
      <c r="M44" s="52"/>
      <c r="N44" s="52"/>
      <c r="O44" s="52"/>
      <c r="P44" s="60">
        <f>SUM(J44:O44)</f>
        <v>0</v>
      </c>
      <c r="Q44" s="44"/>
      <c r="R44" s="44"/>
    </row>
    <row r="45" spans="2:18" ht="13.5" customHeight="1" thickTop="1" x14ac:dyDescent="0.2">
      <c r="C45" s="50" t="s">
        <v>58</v>
      </c>
      <c r="D45" s="182"/>
      <c r="E45" s="182"/>
      <c r="F45" s="182"/>
      <c r="G45" s="29"/>
      <c r="H45" s="47"/>
      <c r="J45" s="44"/>
      <c r="L45" s="44"/>
      <c r="M45" s="44"/>
      <c r="N45" s="44"/>
      <c r="O45" s="44"/>
      <c r="Q45" s="44"/>
      <c r="R45" s="44"/>
    </row>
    <row r="46" spans="2:18" ht="13.5" customHeight="1" x14ac:dyDescent="0.2">
      <c r="H46" s="48"/>
      <c r="Q46" s="44"/>
      <c r="R46" s="44"/>
    </row>
    <row r="47" spans="2:18" ht="13.5" customHeight="1" x14ac:dyDescent="0.2">
      <c r="C47" s="33"/>
      <c r="D47" s="34"/>
      <c r="Q47" s="44"/>
      <c r="R47" s="44"/>
    </row>
    <row r="48" spans="2:18" ht="13.5" customHeight="1" x14ac:dyDescent="0.2">
      <c r="C48" s="33"/>
      <c r="D48" s="34"/>
      <c r="J48" s="44"/>
      <c r="L48" s="44"/>
      <c r="M48" s="44"/>
      <c r="N48" s="44"/>
      <c r="O48" s="44"/>
      <c r="P48" s="44"/>
      <c r="Q48" s="44"/>
      <c r="R48" s="44"/>
    </row>
    <row r="49" spans="1:18" ht="13.5" customHeight="1" x14ac:dyDescent="0.2">
      <c r="A49" s="43"/>
      <c r="B49" s="41"/>
      <c r="C49" s="33"/>
      <c r="D49" s="34"/>
      <c r="J49" s="44"/>
      <c r="L49" s="44"/>
      <c r="M49" s="44"/>
      <c r="N49" s="44"/>
      <c r="O49" s="44"/>
      <c r="P49" s="44"/>
      <c r="Q49" s="44"/>
      <c r="R49" s="44"/>
    </row>
    <row r="50" spans="1:18" ht="13.5" customHeight="1" x14ac:dyDescent="0.2">
      <c r="A50" s="41"/>
      <c r="B50" s="41"/>
      <c r="Q50" s="44"/>
      <c r="R50" s="44"/>
    </row>
    <row r="51" spans="1:18" ht="13.5" customHeight="1" x14ac:dyDescent="0.2">
      <c r="A51" s="23">
        <v>3</v>
      </c>
      <c r="B51" s="41"/>
      <c r="C51" s="123" t="s">
        <v>60</v>
      </c>
      <c r="D51" s="179"/>
      <c r="E51" s="180"/>
      <c r="F51" s="180"/>
      <c r="G51" s="181"/>
      <c r="H51" s="41"/>
      <c r="Q51" s="44"/>
      <c r="R51" s="44"/>
    </row>
    <row r="52" spans="1:18" ht="13.5" customHeight="1" x14ac:dyDescent="0.2">
      <c r="B52" s="41"/>
      <c r="C52" s="51" t="s">
        <v>7</v>
      </c>
      <c r="D52" s="96"/>
      <c r="H52" s="46"/>
      <c r="Q52" s="44"/>
      <c r="R52" s="44"/>
    </row>
    <row r="53" spans="1:18" ht="13.5" customHeight="1" x14ac:dyDescent="0.2">
      <c r="A53" s="41"/>
      <c r="B53" s="41"/>
      <c r="C53" s="23" t="s">
        <v>17</v>
      </c>
      <c r="D53" s="124"/>
      <c r="H53" s="41"/>
      <c r="Q53" s="44"/>
      <c r="R53" s="44"/>
    </row>
    <row r="54" spans="1:18" ht="13.5" customHeight="1" x14ac:dyDescent="0.2">
      <c r="Q54" s="44"/>
      <c r="R54" s="44"/>
    </row>
    <row r="55" spans="1:18" ht="13.5" customHeight="1" x14ac:dyDescent="0.2">
      <c r="C55" s="23" t="s">
        <v>57</v>
      </c>
      <c r="D55" s="23" t="s">
        <v>54</v>
      </c>
      <c r="E55" s="23" t="s">
        <v>2</v>
      </c>
      <c r="F55" s="23" t="s">
        <v>3</v>
      </c>
      <c r="G55" s="23" t="s">
        <v>42</v>
      </c>
      <c r="Q55" s="44"/>
      <c r="R55" s="44"/>
    </row>
    <row r="56" spans="1:18" ht="13.5" customHeight="1" x14ac:dyDescent="0.2">
      <c r="B56" s="26"/>
      <c r="C56" s="287"/>
      <c r="D56" s="288"/>
      <c r="E56" s="288"/>
      <c r="F56" s="288"/>
      <c r="G56" s="287"/>
      <c r="Q56" s="44"/>
      <c r="R56" s="44"/>
    </row>
    <row r="57" spans="1:18" ht="13.5" customHeight="1" x14ac:dyDescent="0.2">
      <c r="C57" s="287"/>
      <c r="D57" s="288"/>
      <c r="E57" s="288"/>
      <c r="F57" s="288"/>
      <c r="G57" s="287"/>
      <c r="H57" s="47"/>
      <c r="Q57" s="44"/>
      <c r="R57" s="44"/>
    </row>
    <row r="58" spans="1:18" ht="13.5" customHeight="1" x14ac:dyDescent="0.2">
      <c r="C58" s="287"/>
      <c r="D58" s="288"/>
      <c r="E58" s="288"/>
      <c r="F58" s="288"/>
      <c r="G58" s="287"/>
      <c r="H58" s="47"/>
      <c r="I58" s="53"/>
      <c r="J58" s="54"/>
      <c r="K58" s="54"/>
      <c r="L58" s="54"/>
      <c r="P58" s="34"/>
      <c r="Q58" s="44"/>
      <c r="R58" s="44"/>
    </row>
    <row r="59" spans="1:18" ht="13.5" customHeight="1" x14ac:dyDescent="0.2">
      <c r="C59" s="287"/>
      <c r="D59" s="288"/>
      <c r="E59" s="288"/>
      <c r="F59" s="288"/>
      <c r="G59" s="287"/>
      <c r="H59" s="47"/>
      <c r="J59" s="44"/>
      <c r="L59" s="44"/>
      <c r="M59" s="44"/>
      <c r="N59" s="44"/>
      <c r="O59" s="44"/>
      <c r="P59" s="44"/>
      <c r="Q59" s="44"/>
      <c r="R59" s="44"/>
    </row>
    <row r="60" spans="1:18" ht="13.5" customHeight="1" x14ac:dyDescent="0.2">
      <c r="C60" s="287"/>
      <c r="D60" s="288"/>
      <c r="E60" s="288"/>
      <c r="F60" s="288"/>
      <c r="G60" s="287"/>
      <c r="H60" s="47"/>
      <c r="J60" s="44"/>
      <c r="L60" s="44"/>
      <c r="M60" s="44"/>
      <c r="N60" s="44"/>
      <c r="O60" s="44"/>
      <c r="P60" s="44"/>
      <c r="Q60" s="44"/>
      <c r="R60" s="44"/>
    </row>
    <row r="61" spans="1:18" ht="13.5" customHeight="1" x14ac:dyDescent="0.2">
      <c r="C61" s="287"/>
      <c r="D61" s="288"/>
      <c r="E61" s="288"/>
      <c r="F61" s="288"/>
      <c r="G61" s="287"/>
      <c r="H61" s="47"/>
      <c r="J61" s="44"/>
      <c r="L61" s="44"/>
      <c r="M61" s="44"/>
      <c r="N61" s="44"/>
      <c r="O61" s="44"/>
      <c r="P61" s="44"/>
      <c r="Q61" s="44"/>
      <c r="R61" s="44"/>
    </row>
    <row r="62" spans="1:18" ht="13.5" customHeight="1" x14ac:dyDescent="0.2">
      <c r="C62" s="287"/>
      <c r="D62" s="288"/>
      <c r="E62" s="288"/>
      <c r="F62" s="288"/>
      <c r="G62" s="287"/>
      <c r="H62" s="47"/>
      <c r="J62" s="44"/>
      <c r="L62" s="44"/>
      <c r="M62" s="44"/>
      <c r="N62" s="44"/>
      <c r="O62" s="44"/>
      <c r="P62" s="44"/>
      <c r="Q62" s="44"/>
      <c r="R62" s="44"/>
    </row>
    <row r="63" spans="1:18" ht="13.5" customHeight="1" x14ac:dyDescent="0.2">
      <c r="C63" s="287"/>
      <c r="D63" s="288"/>
      <c r="E63" s="288"/>
      <c r="F63" s="288"/>
      <c r="G63" s="287"/>
      <c r="H63" s="47"/>
      <c r="J63" s="44"/>
      <c r="L63" s="44"/>
      <c r="M63" s="44"/>
      <c r="N63" s="44"/>
      <c r="O63" s="44"/>
      <c r="P63" s="44"/>
      <c r="Q63" s="44"/>
      <c r="R63" s="44"/>
    </row>
    <row r="64" spans="1:18" ht="13.5" customHeight="1" x14ac:dyDescent="0.2">
      <c r="C64" s="287"/>
      <c r="D64" s="288"/>
      <c r="E64" s="288"/>
      <c r="F64" s="288"/>
      <c r="G64" s="287"/>
      <c r="H64" s="47"/>
      <c r="J64" s="44"/>
      <c r="L64" s="44"/>
      <c r="M64" s="44"/>
      <c r="N64" s="44"/>
      <c r="O64" s="44"/>
      <c r="P64" s="44"/>
      <c r="Q64" s="44"/>
      <c r="R64" s="44"/>
    </row>
    <row r="65" spans="1:18" ht="13.5" customHeight="1" x14ac:dyDescent="0.2">
      <c r="C65" s="287"/>
      <c r="D65" s="288"/>
      <c r="E65" s="288"/>
      <c r="F65" s="288"/>
      <c r="G65" s="287"/>
      <c r="H65" s="47"/>
      <c r="I65" s="23" t="s">
        <v>56</v>
      </c>
      <c r="J65" s="23">
        <f>Startår</f>
        <v>2022</v>
      </c>
      <c r="K65" s="23">
        <f>J65+1</f>
        <v>2023</v>
      </c>
      <c r="L65" s="23">
        <f>K65+1</f>
        <v>2024</v>
      </c>
      <c r="M65" s="23">
        <f>L65+1</f>
        <v>2025</v>
      </c>
      <c r="N65" s="23">
        <f>M65+1</f>
        <v>2026</v>
      </c>
      <c r="O65" s="23">
        <f>N65+1</f>
        <v>2027</v>
      </c>
      <c r="P65" s="57" t="s">
        <v>10</v>
      </c>
      <c r="Q65" s="44"/>
      <c r="R65" s="44"/>
    </row>
    <row r="66" spans="1:18" ht="13.5" customHeight="1" thickBot="1" x14ac:dyDescent="0.25">
      <c r="C66" s="287"/>
      <c r="D66" s="288"/>
      <c r="E66" s="288"/>
      <c r="F66" s="288"/>
      <c r="G66" s="287"/>
      <c r="H66" s="47"/>
      <c r="I66" s="23" t="s">
        <v>15</v>
      </c>
      <c r="J66" s="52"/>
      <c r="K66" s="52"/>
      <c r="L66" s="52"/>
      <c r="M66" s="52"/>
      <c r="N66" s="52"/>
      <c r="O66" s="52"/>
      <c r="P66" s="58">
        <f>SUM(J66:O66)</f>
        <v>0</v>
      </c>
      <c r="Q66" s="44"/>
      <c r="R66" s="44"/>
    </row>
    <row r="67" spans="1:18" ht="13.5" customHeight="1" thickTop="1" thickBot="1" x14ac:dyDescent="0.25">
      <c r="C67" s="289"/>
      <c r="D67" s="288"/>
      <c r="E67" s="288"/>
      <c r="F67" s="288"/>
      <c r="G67" s="287"/>
      <c r="H67" s="47"/>
      <c r="I67" s="23" t="s">
        <v>55</v>
      </c>
      <c r="J67" s="52"/>
      <c r="K67" s="52"/>
      <c r="L67" s="52"/>
      <c r="M67" s="52"/>
      <c r="N67" s="52"/>
      <c r="O67" s="52"/>
      <c r="P67" s="59">
        <f>SUM(J67:O67)</f>
        <v>0</v>
      </c>
      <c r="Q67" s="44"/>
      <c r="R67" s="44"/>
    </row>
    <row r="68" spans="1:18" ht="13.5" customHeight="1" thickTop="1" thickBot="1" x14ac:dyDescent="0.25">
      <c r="C68" s="287"/>
      <c r="D68" s="288"/>
      <c r="E68" s="288"/>
      <c r="F68" s="288"/>
      <c r="G68" s="287"/>
      <c r="H68" s="47"/>
      <c r="I68" s="23" t="s">
        <v>3</v>
      </c>
      <c r="J68" s="52"/>
      <c r="K68" s="52"/>
      <c r="L68" s="52"/>
      <c r="M68" s="52"/>
      <c r="N68" s="52"/>
      <c r="O68" s="52"/>
      <c r="P68" s="60">
        <f>SUM(J68:O68)</f>
        <v>0</v>
      </c>
      <c r="Q68" s="44"/>
      <c r="R68" s="44"/>
    </row>
    <row r="69" spans="1:18" ht="13.5" customHeight="1" thickTop="1" x14ac:dyDescent="0.2">
      <c r="C69" s="50" t="s">
        <v>58</v>
      </c>
      <c r="D69" s="182"/>
      <c r="E69" s="182"/>
      <c r="F69" s="182"/>
      <c r="G69" s="29"/>
      <c r="H69" s="48"/>
      <c r="J69" s="44"/>
      <c r="L69" s="44"/>
      <c r="M69" s="44"/>
      <c r="N69" s="44"/>
      <c r="O69" s="44"/>
      <c r="Q69" s="44"/>
      <c r="R69" s="44"/>
    </row>
    <row r="70" spans="1:18" ht="13.5" customHeight="1" x14ac:dyDescent="0.2">
      <c r="Q70" s="44"/>
      <c r="R70" s="44"/>
    </row>
    <row r="71" spans="1:18" ht="13.5" customHeight="1" x14ac:dyDescent="0.2">
      <c r="A71" s="43"/>
      <c r="B71" s="41"/>
      <c r="J71" s="44"/>
      <c r="L71" s="44"/>
      <c r="M71" s="44"/>
      <c r="N71" s="44"/>
      <c r="O71" s="44"/>
      <c r="P71" s="44"/>
      <c r="Q71" s="44"/>
      <c r="R71" s="44"/>
    </row>
    <row r="72" spans="1:18" ht="13.5" customHeight="1" x14ac:dyDescent="0.2">
      <c r="A72" s="41"/>
      <c r="B72" s="41"/>
      <c r="J72" s="44"/>
      <c r="L72" s="44"/>
      <c r="M72" s="44"/>
      <c r="N72" s="44"/>
      <c r="O72" s="44"/>
      <c r="P72" s="44"/>
      <c r="Q72" s="44"/>
      <c r="R72" s="44"/>
    </row>
    <row r="73" spans="1:18" ht="13.5" customHeight="1" x14ac:dyDescent="0.2">
      <c r="Q73" s="44"/>
      <c r="R73" s="44"/>
    </row>
    <row r="74" spans="1:18" ht="13.5" customHeight="1" x14ac:dyDescent="0.2">
      <c r="A74" s="23">
        <v>4</v>
      </c>
      <c r="B74" s="41"/>
      <c r="C74" s="123" t="s">
        <v>60</v>
      </c>
      <c r="D74" s="179"/>
      <c r="E74" s="180"/>
      <c r="F74" s="180"/>
      <c r="G74" s="181"/>
      <c r="H74" s="41"/>
      <c r="Q74" s="44"/>
      <c r="R74" s="44"/>
    </row>
    <row r="75" spans="1:18" ht="13.5" customHeight="1" x14ac:dyDescent="0.2">
      <c r="B75" s="41"/>
      <c r="C75" s="51" t="s">
        <v>7</v>
      </c>
      <c r="D75" s="96"/>
      <c r="H75" s="46"/>
      <c r="Q75" s="44"/>
      <c r="R75" s="44"/>
    </row>
    <row r="76" spans="1:18" ht="13.5" customHeight="1" x14ac:dyDescent="0.2">
      <c r="A76" s="41"/>
      <c r="B76" s="41"/>
      <c r="C76" s="23" t="s">
        <v>17</v>
      </c>
      <c r="D76" s="124"/>
      <c r="H76" s="41"/>
      <c r="Q76" s="44"/>
      <c r="R76" s="44"/>
    </row>
    <row r="77" spans="1:18" ht="13.5" customHeight="1" x14ac:dyDescent="0.2">
      <c r="Q77" s="44"/>
      <c r="R77" s="44"/>
    </row>
    <row r="78" spans="1:18" ht="13.5" customHeight="1" x14ac:dyDescent="0.2">
      <c r="C78" s="23" t="s">
        <v>57</v>
      </c>
      <c r="D78" s="23" t="s">
        <v>54</v>
      </c>
      <c r="E78" s="23" t="s">
        <v>2</v>
      </c>
      <c r="F78" s="23" t="s">
        <v>3</v>
      </c>
      <c r="G78" s="23" t="s">
        <v>42</v>
      </c>
      <c r="Q78" s="44"/>
      <c r="R78" s="44"/>
    </row>
    <row r="79" spans="1:18" ht="13.5" customHeight="1" x14ac:dyDescent="0.2">
      <c r="B79" s="26"/>
      <c r="C79" s="287"/>
      <c r="D79" s="288"/>
      <c r="E79" s="288"/>
      <c r="F79" s="288"/>
      <c r="G79" s="287"/>
      <c r="Q79" s="44"/>
      <c r="R79" s="44"/>
    </row>
    <row r="80" spans="1:18" ht="13.5" customHeight="1" x14ac:dyDescent="0.2">
      <c r="C80" s="287"/>
      <c r="D80" s="288"/>
      <c r="E80" s="288"/>
      <c r="F80" s="288"/>
      <c r="G80" s="287"/>
      <c r="H80" s="47"/>
      <c r="Q80" s="44"/>
      <c r="R80" s="44"/>
    </row>
    <row r="81" spans="1:18" ht="13.5" customHeight="1" x14ac:dyDescent="0.2">
      <c r="C81" s="287"/>
      <c r="D81" s="288"/>
      <c r="E81" s="288"/>
      <c r="F81" s="288"/>
      <c r="G81" s="287"/>
      <c r="H81" s="47"/>
      <c r="I81" s="53"/>
      <c r="J81" s="54"/>
      <c r="K81" s="54"/>
      <c r="L81" s="54"/>
      <c r="P81" s="34"/>
      <c r="Q81" s="44"/>
      <c r="R81" s="44"/>
    </row>
    <row r="82" spans="1:18" ht="13.5" customHeight="1" x14ac:dyDescent="0.2">
      <c r="C82" s="287"/>
      <c r="D82" s="288"/>
      <c r="E82" s="288"/>
      <c r="F82" s="288"/>
      <c r="G82" s="287"/>
      <c r="H82" s="47"/>
      <c r="J82" s="44"/>
      <c r="L82" s="44"/>
      <c r="M82" s="44"/>
      <c r="N82" s="44"/>
      <c r="O82" s="44"/>
      <c r="P82" s="44"/>
      <c r="Q82" s="44"/>
      <c r="R82" s="44"/>
    </row>
    <row r="83" spans="1:18" ht="13.5" customHeight="1" x14ac:dyDescent="0.2">
      <c r="C83" s="287"/>
      <c r="D83" s="288"/>
      <c r="E83" s="288"/>
      <c r="F83" s="288"/>
      <c r="G83" s="287"/>
      <c r="H83" s="47"/>
      <c r="J83" s="44"/>
      <c r="L83" s="44"/>
      <c r="M83" s="44"/>
      <c r="N83" s="44"/>
      <c r="O83" s="44"/>
      <c r="P83" s="44"/>
      <c r="Q83" s="44"/>
      <c r="R83" s="44"/>
    </row>
    <row r="84" spans="1:18" ht="13.5" customHeight="1" x14ac:dyDescent="0.2">
      <c r="C84" s="287"/>
      <c r="D84" s="288"/>
      <c r="E84" s="288"/>
      <c r="F84" s="288"/>
      <c r="G84" s="287"/>
      <c r="H84" s="47"/>
      <c r="J84" s="44"/>
      <c r="L84" s="44"/>
      <c r="M84" s="44"/>
      <c r="N84" s="44"/>
      <c r="O84" s="44"/>
      <c r="P84" s="44"/>
      <c r="Q84" s="44"/>
      <c r="R84" s="44"/>
    </row>
    <row r="85" spans="1:18" ht="13.5" customHeight="1" x14ac:dyDescent="0.2">
      <c r="C85" s="287"/>
      <c r="D85" s="288"/>
      <c r="E85" s="288"/>
      <c r="F85" s="288"/>
      <c r="G85" s="287"/>
      <c r="H85" s="47"/>
      <c r="J85" s="44"/>
      <c r="L85" s="44"/>
      <c r="M85" s="44"/>
      <c r="N85" s="44"/>
      <c r="O85" s="44"/>
      <c r="P85" s="44"/>
      <c r="Q85" s="44"/>
      <c r="R85" s="44"/>
    </row>
    <row r="86" spans="1:18" ht="13.5" customHeight="1" x14ac:dyDescent="0.2">
      <c r="C86" s="287"/>
      <c r="D86" s="288"/>
      <c r="E86" s="288"/>
      <c r="F86" s="288"/>
      <c r="G86" s="287"/>
      <c r="H86" s="47"/>
      <c r="J86" s="44"/>
      <c r="L86" s="44"/>
      <c r="M86" s="44"/>
      <c r="N86" s="44"/>
      <c r="O86" s="44"/>
      <c r="P86" s="44"/>
      <c r="Q86" s="44"/>
      <c r="R86" s="44"/>
    </row>
    <row r="87" spans="1:18" ht="13.5" customHeight="1" x14ac:dyDescent="0.2">
      <c r="C87" s="287"/>
      <c r="D87" s="288"/>
      <c r="E87" s="288"/>
      <c r="F87" s="288"/>
      <c r="G87" s="287"/>
      <c r="H87" s="47"/>
      <c r="J87" s="44"/>
      <c r="L87" s="44"/>
      <c r="M87" s="44"/>
      <c r="N87" s="44"/>
      <c r="O87" s="44"/>
      <c r="P87" s="44"/>
      <c r="Q87" s="44"/>
      <c r="R87" s="44"/>
    </row>
    <row r="88" spans="1:18" ht="13.5" customHeight="1" x14ac:dyDescent="0.2">
      <c r="C88" s="287"/>
      <c r="D88" s="288"/>
      <c r="E88" s="288"/>
      <c r="F88" s="288"/>
      <c r="G88" s="287"/>
      <c r="H88" s="47"/>
      <c r="I88" s="23" t="s">
        <v>56</v>
      </c>
      <c r="J88" s="23">
        <f>Startår</f>
        <v>2022</v>
      </c>
      <c r="K88" s="23">
        <f>J88+1</f>
        <v>2023</v>
      </c>
      <c r="L88" s="23">
        <f>K88+1</f>
        <v>2024</v>
      </c>
      <c r="M88" s="23">
        <f>L88+1</f>
        <v>2025</v>
      </c>
      <c r="N88" s="23">
        <f>M88+1</f>
        <v>2026</v>
      </c>
      <c r="O88" s="23">
        <f>N88+1</f>
        <v>2027</v>
      </c>
      <c r="P88" s="57" t="s">
        <v>10</v>
      </c>
      <c r="Q88" s="44"/>
      <c r="R88" s="44"/>
    </row>
    <row r="89" spans="1:18" ht="13.5" customHeight="1" thickBot="1" x14ac:dyDescent="0.25">
      <c r="C89" s="287"/>
      <c r="D89" s="288"/>
      <c r="E89" s="288"/>
      <c r="F89" s="288"/>
      <c r="G89" s="287"/>
      <c r="H89" s="47"/>
      <c r="I89" s="23" t="s">
        <v>15</v>
      </c>
      <c r="J89" s="52"/>
      <c r="K89" s="52"/>
      <c r="L89" s="52"/>
      <c r="M89" s="52"/>
      <c r="N89" s="52"/>
      <c r="O89" s="52"/>
      <c r="P89" s="58">
        <f>SUM(J89:O89)</f>
        <v>0</v>
      </c>
      <c r="Q89" s="44"/>
      <c r="R89" s="44"/>
    </row>
    <row r="90" spans="1:18" ht="13.5" customHeight="1" thickTop="1" thickBot="1" x14ac:dyDescent="0.25">
      <c r="C90" s="289"/>
      <c r="D90" s="288"/>
      <c r="E90" s="288"/>
      <c r="F90" s="288"/>
      <c r="G90" s="287"/>
      <c r="H90" s="47"/>
      <c r="I90" s="23" t="s">
        <v>55</v>
      </c>
      <c r="J90" s="52"/>
      <c r="K90" s="52"/>
      <c r="L90" s="52"/>
      <c r="M90" s="52"/>
      <c r="N90" s="52"/>
      <c r="O90" s="52"/>
      <c r="P90" s="59">
        <f>SUM(J90:O90)</f>
        <v>0</v>
      </c>
      <c r="Q90" s="44"/>
      <c r="R90" s="44"/>
    </row>
    <row r="91" spans="1:18" ht="13.5" customHeight="1" thickTop="1" thickBot="1" x14ac:dyDescent="0.25">
      <c r="C91" s="287"/>
      <c r="D91" s="288"/>
      <c r="E91" s="288"/>
      <c r="F91" s="288"/>
      <c r="G91" s="287"/>
      <c r="H91" s="47"/>
      <c r="I91" s="23" t="s">
        <v>3</v>
      </c>
      <c r="J91" s="52"/>
      <c r="K91" s="52"/>
      <c r="L91" s="52"/>
      <c r="M91" s="52"/>
      <c r="N91" s="52"/>
      <c r="O91" s="52"/>
      <c r="P91" s="60">
        <f>SUM(J91:O91)</f>
        <v>0</v>
      </c>
      <c r="Q91" s="44"/>
      <c r="R91" s="44"/>
    </row>
    <row r="92" spans="1:18" ht="13.5" customHeight="1" thickTop="1" x14ac:dyDescent="0.2">
      <c r="C92" s="50" t="s">
        <v>58</v>
      </c>
      <c r="D92" s="182"/>
      <c r="E92" s="182"/>
      <c r="F92" s="182"/>
      <c r="G92" s="29"/>
      <c r="H92" s="48"/>
      <c r="J92" s="44"/>
      <c r="L92" s="44"/>
      <c r="M92" s="44"/>
      <c r="N92" s="44"/>
      <c r="O92" s="44"/>
      <c r="P92" s="44"/>
      <c r="Q92" s="44"/>
      <c r="R92" s="44"/>
    </row>
    <row r="93" spans="1:18" ht="13.5" customHeight="1" x14ac:dyDescent="0.2">
      <c r="J93" s="44"/>
      <c r="L93" s="44"/>
      <c r="M93" s="44"/>
      <c r="N93" s="44"/>
      <c r="O93" s="44"/>
      <c r="P93" s="44"/>
      <c r="Q93" s="44"/>
      <c r="R93" s="44"/>
    </row>
    <row r="94" spans="1:18" ht="13.5" customHeight="1" x14ac:dyDescent="0.2">
      <c r="A94" s="41"/>
      <c r="B94" s="41"/>
      <c r="J94" s="44"/>
      <c r="L94" s="44"/>
      <c r="M94" s="44"/>
      <c r="N94" s="44"/>
      <c r="O94" s="44"/>
      <c r="P94" s="44"/>
      <c r="Q94" s="44"/>
      <c r="R94" s="44"/>
    </row>
    <row r="95" spans="1:18" ht="13.5" customHeight="1" x14ac:dyDescent="0.2">
      <c r="J95" s="44"/>
      <c r="L95" s="44"/>
      <c r="M95" s="44"/>
      <c r="N95" s="44"/>
      <c r="O95" s="44"/>
      <c r="P95" s="44"/>
      <c r="Q95" s="44"/>
      <c r="R95" s="44"/>
    </row>
    <row r="96" spans="1:18" ht="13.5" customHeight="1" x14ac:dyDescent="0.2">
      <c r="Q96" s="44"/>
      <c r="R96" s="44"/>
    </row>
    <row r="97" spans="1:18 2096:2096" ht="13.5" customHeight="1" x14ac:dyDescent="0.2">
      <c r="A97" s="23">
        <v>5</v>
      </c>
      <c r="B97" s="41"/>
      <c r="C97" s="123" t="s">
        <v>60</v>
      </c>
      <c r="D97" s="179"/>
      <c r="E97" s="180"/>
      <c r="F97" s="180"/>
      <c r="G97" s="181"/>
      <c r="H97" s="41"/>
      <c r="Q97" s="44"/>
      <c r="R97" s="44"/>
    </row>
    <row r="98" spans="1:18 2096:2096" ht="13.5" customHeight="1" x14ac:dyDescent="0.2">
      <c r="B98" s="41"/>
      <c r="C98" s="51" t="s">
        <v>7</v>
      </c>
      <c r="D98" s="96"/>
      <c r="H98" s="46"/>
      <c r="Q98" s="44"/>
      <c r="R98" s="44"/>
    </row>
    <row r="99" spans="1:18 2096:2096" ht="13.5" customHeight="1" x14ac:dyDescent="0.2">
      <c r="A99" s="41"/>
      <c r="B99" s="41"/>
      <c r="C99" s="23" t="s">
        <v>17</v>
      </c>
      <c r="D99" s="124"/>
      <c r="H99" s="41"/>
      <c r="Q99" s="44"/>
      <c r="R99" s="44"/>
    </row>
    <row r="100" spans="1:18 2096:2096" ht="13.5" customHeight="1" x14ac:dyDescent="0.2">
      <c r="Q100" s="44"/>
      <c r="R100" s="44"/>
    </row>
    <row r="101" spans="1:18 2096:2096" ht="13.5" customHeight="1" x14ac:dyDescent="0.2">
      <c r="C101" s="23" t="s">
        <v>57</v>
      </c>
      <c r="D101" s="23" t="s">
        <v>54</v>
      </c>
      <c r="E101" s="23" t="s">
        <v>2</v>
      </c>
      <c r="F101" s="23" t="s">
        <v>3</v>
      </c>
      <c r="G101" s="23" t="s">
        <v>42</v>
      </c>
      <c r="Q101" s="44"/>
      <c r="R101" s="44"/>
    </row>
    <row r="102" spans="1:18 2096:2096" ht="13.5" customHeight="1" x14ac:dyDescent="0.2">
      <c r="B102" s="26"/>
      <c r="C102" s="287"/>
      <c r="D102" s="288"/>
      <c r="E102" s="288"/>
      <c r="F102" s="288"/>
      <c r="G102" s="287"/>
      <c r="Q102" s="44"/>
      <c r="R102" s="44"/>
    </row>
    <row r="103" spans="1:18 2096:2096" ht="13.5" customHeight="1" x14ac:dyDescent="0.2">
      <c r="C103" s="287"/>
      <c r="D103" s="288"/>
      <c r="E103" s="288"/>
      <c r="F103" s="288"/>
      <c r="G103" s="287"/>
      <c r="H103" s="47"/>
      <c r="Q103" s="44"/>
      <c r="R103" s="44"/>
    </row>
    <row r="104" spans="1:18 2096:2096" ht="13.5" customHeight="1" x14ac:dyDescent="0.2">
      <c r="C104" s="287"/>
      <c r="D104" s="288"/>
      <c r="E104" s="288"/>
      <c r="F104" s="288"/>
      <c r="G104" s="287"/>
      <c r="H104" s="47"/>
      <c r="I104" s="53"/>
      <c r="J104" s="54"/>
      <c r="K104" s="54"/>
      <c r="L104" s="54"/>
      <c r="P104" s="34"/>
      <c r="Q104" s="44"/>
      <c r="R104" s="44"/>
    </row>
    <row r="105" spans="1:18 2096:2096" ht="13.5" customHeight="1" x14ac:dyDescent="0.2">
      <c r="C105" s="287"/>
      <c r="D105" s="288"/>
      <c r="E105" s="288"/>
      <c r="F105" s="288"/>
      <c r="G105" s="287"/>
      <c r="H105" s="47"/>
      <c r="J105" s="44"/>
      <c r="L105" s="44"/>
      <c r="M105" s="44"/>
      <c r="N105" s="44"/>
      <c r="O105" s="44"/>
      <c r="P105" s="44"/>
      <c r="Q105" s="44"/>
      <c r="R105" s="44"/>
    </row>
    <row r="106" spans="1:18 2096:2096" ht="13.5" customHeight="1" x14ac:dyDescent="0.2">
      <c r="C106" s="287"/>
      <c r="D106" s="288"/>
      <c r="E106" s="288"/>
      <c r="F106" s="288"/>
      <c r="G106" s="287"/>
      <c r="H106" s="47"/>
      <c r="J106" s="44"/>
      <c r="L106" s="44"/>
      <c r="M106" s="44"/>
      <c r="N106" s="44"/>
      <c r="O106" s="44"/>
      <c r="P106" s="44"/>
      <c r="Q106" s="44"/>
      <c r="R106" s="44"/>
      <c r="CBP106" s="85"/>
    </row>
    <row r="107" spans="1:18 2096:2096" ht="13.5" customHeight="1" x14ac:dyDescent="0.2">
      <c r="C107" s="287"/>
      <c r="D107" s="288"/>
      <c r="E107" s="288"/>
      <c r="F107" s="288"/>
      <c r="G107" s="287"/>
      <c r="H107" s="47"/>
      <c r="J107" s="44"/>
      <c r="L107" s="44"/>
      <c r="M107" s="44"/>
      <c r="N107" s="44"/>
      <c r="O107" s="44"/>
      <c r="P107" s="44"/>
      <c r="Q107" s="44"/>
      <c r="R107" s="44"/>
    </row>
    <row r="108" spans="1:18 2096:2096" ht="13.5" customHeight="1" x14ac:dyDescent="0.2">
      <c r="C108" s="287"/>
      <c r="D108" s="288"/>
      <c r="E108" s="288"/>
      <c r="F108" s="288"/>
      <c r="G108" s="287"/>
      <c r="H108" s="47"/>
      <c r="J108" s="44"/>
      <c r="L108" s="44"/>
      <c r="M108" s="44"/>
      <c r="N108" s="44"/>
      <c r="O108" s="44"/>
      <c r="P108" s="44"/>
      <c r="Q108" s="44"/>
      <c r="R108" s="44"/>
    </row>
    <row r="109" spans="1:18 2096:2096" ht="13.5" customHeight="1" x14ac:dyDescent="0.2">
      <c r="C109" s="287"/>
      <c r="D109" s="288"/>
      <c r="E109" s="288"/>
      <c r="F109" s="288"/>
      <c r="G109" s="287"/>
      <c r="H109" s="47"/>
      <c r="J109" s="44"/>
      <c r="L109" s="44"/>
      <c r="M109" s="44"/>
      <c r="N109" s="44"/>
      <c r="O109" s="44"/>
      <c r="P109" s="44"/>
      <c r="Q109" s="44"/>
      <c r="R109" s="44"/>
    </row>
    <row r="110" spans="1:18 2096:2096" ht="13.5" customHeight="1" x14ac:dyDescent="0.2">
      <c r="C110" s="287"/>
      <c r="D110" s="288"/>
      <c r="E110" s="288"/>
      <c r="F110" s="288"/>
      <c r="G110" s="287"/>
      <c r="H110" s="47"/>
      <c r="J110" s="44"/>
      <c r="L110" s="44"/>
      <c r="M110" s="44"/>
      <c r="N110" s="44"/>
      <c r="O110" s="44"/>
      <c r="P110" s="44"/>
      <c r="Q110" s="44"/>
      <c r="R110" s="44"/>
    </row>
    <row r="111" spans="1:18 2096:2096" ht="13.5" customHeight="1" x14ac:dyDescent="0.2">
      <c r="C111" s="287"/>
      <c r="D111" s="288"/>
      <c r="E111" s="288"/>
      <c r="F111" s="288"/>
      <c r="G111" s="287"/>
      <c r="H111" s="47"/>
      <c r="I111" s="23" t="s">
        <v>56</v>
      </c>
      <c r="J111" s="23">
        <f>Startår</f>
        <v>2022</v>
      </c>
      <c r="K111" s="23">
        <f>J111+1</f>
        <v>2023</v>
      </c>
      <c r="L111" s="23">
        <f>K111+1</f>
        <v>2024</v>
      </c>
      <c r="M111" s="23">
        <f>L111+1</f>
        <v>2025</v>
      </c>
      <c r="N111" s="23">
        <f>M111+1</f>
        <v>2026</v>
      </c>
      <c r="O111" s="23">
        <f>N111+1</f>
        <v>2027</v>
      </c>
      <c r="P111" s="57" t="s">
        <v>10</v>
      </c>
      <c r="Q111" s="44"/>
      <c r="R111" s="44"/>
    </row>
    <row r="112" spans="1:18 2096:2096" ht="13.5" customHeight="1" thickBot="1" x14ac:dyDescent="0.25">
      <c r="C112" s="287"/>
      <c r="D112" s="288"/>
      <c r="E112" s="288"/>
      <c r="F112" s="288"/>
      <c r="G112" s="287"/>
      <c r="H112" s="47"/>
      <c r="I112" s="23" t="s">
        <v>15</v>
      </c>
      <c r="J112" s="52"/>
      <c r="K112" s="52"/>
      <c r="L112" s="52"/>
      <c r="M112" s="52"/>
      <c r="N112" s="52"/>
      <c r="O112" s="52"/>
      <c r="P112" s="58">
        <f>SUM(J112:O112)</f>
        <v>0</v>
      </c>
      <c r="Q112" s="44"/>
      <c r="R112" s="44"/>
    </row>
    <row r="113" spans="1:18" ht="13.5" customHeight="1" thickTop="1" thickBot="1" x14ac:dyDescent="0.25">
      <c r="C113" s="289"/>
      <c r="D113" s="288"/>
      <c r="E113" s="288"/>
      <c r="F113" s="288"/>
      <c r="G113" s="287"/>
      <c r="H113" s="47"/>
      <c r="I113" s="23" t="s">
        <v>55</v>
      </c>
      <c r="J113" s="52"/>
      <c r="K113" s="52"/>
      <c r="L113" s="52"/>
      <c r="M113" s="52"/>
      <c r="N113" s="52"/>
      <c r="O113" s="52"/>
      <c r="P113" s="59">
        <f>SUM(J113:O113)</f>
        <v>0</v>
      </c>
      <c r="Q113" s="44"/>
      <c r="R113" s="44"/>
    </row>
    <row r="114" spans="1:18" ht="13.5" customHeight="1" thickTop="1" thickBot="1" x14ac:dyDescent="0.25">
      <c r="C114" s="287"/>
      <c r="D114" s="288"/>
      <c r="E114" s="288"/>
      <c r="F114" s="288"/>
      <c r="G114" s="287"/>
      <c r="H114" s="47"/>
      <c r="I114" s="23" t="s">
        <v>3</v>
      </c>
      <c r="J114" s="52"/>
      <c r="K114" s="52"/>
      <c r="L114" s="52"/>
      <c r="M114" s="52"/>
      <c r="N114" s="52"/>
      <c r="O114" s="52"/>
      <c r="P114" s="60">
        <f>SUM(J114:O114)</f>
        <v>0</v>
      </c>
      <c r="Q114" s="44"/>
      <c r="R114" s="44"/>
    </row>
    <row r="115" spans="1:18" ht="13.5" customHeight="1" thickTop="1" x14ac:dyDescent="0.2">
      <c r="C115" s="50" t="s">
        <v>58</v>
      </c>
      <c r="D115" s="182"/>
      <c r="E115" s="182"/>
      <c r="F115" s="182"/>
      <c r="G115" s="29"/>
      <c r="H115" s="48"/>
      <c r="J115" s="44"/>
      <c r="L115" s="44"/>
      <c r="M115" s="44"/>
      <c r="N115" s="44"/>
      <c r="O115" s="44"/>
      <c r="P115" s="44"/>
      <c r="Q115" s="44"/>
      <c r="R115" s="44"/>
    </row>
    <row r="116" spans="1:18" ht="13.5" customHeight="1" x14ac:dyDescent="0.2">
      <c r="J116" s="44"/>
      <c r="L116" s="44"/>
      <c r="M116" s="44"/>
      <c r="N116" s="44"/>
      <c r="O116" s="44"/>
      <c r="P116" s="44"/>
      <c r="Q116" s="44"/>
      <c r="R116" s="44"/>
    </row>
    <row r="117" spans="1:18" ht="13.5" customHeight="1" x14ac:dyDescent="0.2">
      <c r="J117" s="44"/>
      <c r="L117" s="44"/>
      <c r="M117" s="44"/>
      <c r="N117" s="44"/>
      <c r="O117" s="44"/>
      <c r="P117" s="44"/>
      <c r="Q117" s="44"/>
      <c r="R117" s="44"/>
    </row>
    <row r="118" spans="1:18" ht="13.5" customHeight="1" x14ac:dyDescent="0.2">
      <c r="J118" s="44"/>
      <c r="L118" s="44"/>
      <c r="M118" s="44"/>
      <c r="N118" s="44"/>
      <c r="O118" s="44"/>
      <c r="P118" s="44"/>
      <c r="Q118" s="44"/>
      <c r="R118" s="44"/>
    </row>
    <row r="119" spans="1:18" ht="13.5" customHeight="1" x14ac:dyDescent="0.2">
      <c r="Q119" s="44"/>
      <c r="R119" s="44"/>
    </row>
    <row r="120" spans="1:18" ht="13.5" customHeight="1" x14ac:dyDescent="0.2">
      <c r="A120" s="23">
        <v>6</v>
      </c>
      <c r="B120" s="41"/>
      <c r="C120" s="123" t="s">
        <v>60</v>
      </c>
      <c r="D120" s="179"/>
      <c r="E120" s="180"/>
      <c r="F120" s="180"/>
      <c r="G120" s="181"/>
      <c r="H120" s="41"/>
      <c r="Q120" s="44"/>
      <c r="R120" s="44"/>
    </row>
    <row r="121" spans="1:18" ht="13.5" customHeight="1" x14ac:dyDescent="0.2">
      <c r="B121" s="41"/>
      <c r="C121" s="51" t="s">
        <v>7</v>
      </c>
      <c r="D121" s="96"/>
      <c r="H121" s="46"/>
      <c r="Q121" s="44"/>
      <c r="R121" s="44"/>
    </row>
    <row r="122" spans="1:18" ht="13.5" customHeight="1" x14ac:dyDescent="0.2">
      <c r="A122" s="41"/>
      <c r="B122" s="41"/>
      <c r="C122" s="23" t="s">
        <v>17</v>
      </c>
      <c r="D122" s="124"/>
      <c r="H122" s="41"/>
      <c r="Q122" s="44"/>
      <c r="R122" s="44"/>
    </row>
    <row r="123" spans="1:18" ht="13.5" customHeight="1" x14ac:dyDescent="0.2">
      <c r="Q123" s="44"/>
      <c r="R123" s="44"/>
    </row>
    <row r="124" spans="1:18" ht="13.5" customHeight="1" x14ac:dyDescent="0.2">
      <c r="C124" s="23" t="s">
        <v>57</v>
      </c>
      <c r="D124" s="23" t="s">
        <v>54</v>
      </c>
      <c r="E124" s="23" t="s">
        <v>2</v>
      </c>
      <c r="F124" s="23" t="s">
        <v>3</v>
      </c>
      <c r="G124" s="23" t="s">
        <v>42</v>
      </c>
      <c r="Q124" s="44"/>
      <c r="R124" s="44"/>
    </row>
    <row r="125" spans="1:18" ht="13.5" customHeight="1" x14ac:dyDescent="0.2">
      <c r="B125" s="26"/>
      <c r="C125" s="27"/>
      <c r="D125" s="96"/>
      <c r="E125" s="96"/>
      <c r="F125" s="96"/>
      <c r="G125" s="27"/>
      <c r="Q125" s="44"/>
      <c r="R125" s="44"/>
    </row>
    <row r="126" spans="1:18" ht="13.5" customHeight="1" x14ac:dyDescent="0.2">
      <c r="C126" s="27"/>
      <c r="D126" s="96"/>
      <c r="E126" s="96"/>
      <c r="F126" s="96"/>
      <c r="G126" s="27"/>
      <c r="H126" s="47"/>
      <c r="Q126" s="44"/>
      <c r="R126" s="44"/>
    </row>
    <row r="127" spans="1:18" ht="13.5" customHeight="1" x14ac:dyDescent="0.2">
      <c r="C127" s="27"/>
      <c r="D127" s="96"/>
      <c r="E127" s="96"/>
      <c r="F127" s="96"/>
      <c r="G127" s="27"/>
      <c r="H127" s="47"/>
      <c r="I127" s="53"/>
      <c r="J127" s="54"/>
      <c r="K127" s="54"/>
      <c r="L127" s="54"/>
      <c r="P127" s="34"/>
      <c r="Q127" s="44"/>
      <c r="R127" s="44"/>
    </row>
    <row r="128" spans="1:18" ht="13.5" customHeight="1" x14ac:dyDescent="0.2">
      <c r="C128" s="27"/>
      <c r="D128" s="96"/>
      <c r="E128" s="96"/>
      <c r="F128" s="96"/>
      <c r="G128" s="27"/>
      <c r="H128" s="47"/>
      <c r="J128" s="44"/>
      <c r="L128" s="44"/>
      <c r="M128" s="44"/>
      <c r="N128" s="44"/>
      <c r="O128" s="44"/>
      <c r="P128" s="44"/>
      <c r="Q128" s="44"/>
      <c r="R128" s="44"/>
    </row>
    <row r="129" spans="1:18" ht="13.5" customHeight="1" x14ac:dyDescent="0.2">
      <c r="C129" s="27"/>
      <c r="D129" s="96"/>
      <c r="E129" s="96"/>
      <c r="F129" s="96"/>
      <c r="G129" s="27"/>
      <c r="H129" s="47"/>
      <c r="J129" s="44"/>
      <c r="L129" s="44"/>
      <c r="M129" s="44"/>
      <c r="N129" s="44"/>
      <c r="O129" s="44"/>
      <c r="P129" s="44"/>
      <c r="Q129" s="44"/>
      <c r="R129" s="44"/>
    </row>
    <row r="130" spans="1:18" ht="13.5" customHeight="1" x14ac:dyDescent="0.2">
      <c r="C130" s="27"/>
      <c r="D130" s="96"/>
      <c r="E130" s="96"/>
      <c r="F130" s="96"/>
      <c r="G130" s="27"/>
      <c r="H130" s="47"/>
      <c r="J130" s="44"/>
      <c r="L130" s="44"/>
      <c r="M130" s="44"/>
      <c r="N130" s="44"/>
      <c r="O130" s="44"/>
      <c r="P130" s="44"/>
      <c r="Q130" s="44"/>
      <c r="R130" s="44"/>
    </row>
    <row r="131" spans="1:18" ht="13.5" customHeight="1" x14ac:dyDescent="0.2">
      <c r="C131" s="27"/>
      <c r="D131" s="96"/>
      <c r="E131" s="96"/>
      <c r="F131" s="96"/>
      <c r="G131" s="27"/>
      <c r="H131" s="47"/>
      <c r="J131" s="44"/>
      <c r="L131" s="44"/>
      <c r="M131" s="44"/>
      <c r="N131" s="44"/>
      <c r="O131" s="44"/>
      <c r="P131" s="44"/>
      <c r="Q131" s="44"/>
      <c r="R131" s="44"/>
    </row>
    <row r="132" spans="1:18" ht="13.5" customHeight="1" x14ac:dyDescent="0.2">
      <c r="C132" s="27"/>
      <c r="D132" s="96"/>
      <c r="E132" s="96"/>
      <c r="F132" s="96"/>
      <c r="G132" s="27"/>
      <c r="H132" s="47"/>
      <c r="J132" s="44"/>
      <c r="L132" s="44"/>
      <c r="M132" s="44"/>
      <c r="N132" s="44"/>
      <c r="O132" s="44"/>
      <c r="P132" s="44"/>
      <c r="Q132" s="44"/>
      <c r="R132" s="44"/>
    </row>
    <row r="133" spans="1:18" ht="13.5" customHeight="1" x14ac:dyDescent="0.2">
      <c r="C133" s="27"/>
      <c r="D133" s="96"/>
      <c r="E133" s="96"/>
      <c r="F133" s="96"/>
      <c r="G133" s="27"/>
      <c r="H133" s="47"/>
      <c r="J133" s="44"/>
      <c r="L133" s="44"/>
      <c r="M133" s="44"/>
      <c r="N133" s="44"/>
      <c r="O133" s="44"/>
      <c r="P133" s="44"/>
      <c r="Q133" s="44"/>
      <c r="R133" s="44"/>
    </row>
    <row r="134" spans="1:18" ht="13.5" customHeight="1" x14ac:dyDescent="0.2">
      <c r="C134" s="27"/>
      <c r="D134" s="96"/>
      <c r="E134" s="96"/>
      <c r="F134" s="96"/>
      <c r="G134" s="27"/>
      <c r="H134" s="47"/>
      <c r="I134" s="23" t="s">
        <v>56</v>
      </c>
      <c r="J134" s="23">
        <f>Startår</f>
        <v>2022</v>
      </c>
      <c r="K134" s="23">
        <f>J134+1</f>
        <v>2023</v>
      </c>
      <c r="L134" s="23">
        <f>K134+1</f>
        <v>2024</v>
      </c>
      <c r="M134" s="23">
        <f>L134+1</f>
        <v>2025</v>
      </c>
      <c r="N134" s="23">
        <f>M134+1</f>
        <v>2026</v>
      </c>
      <c r="O134" s="23">
        <f>N134+1</f>
        <v>2027</v>
      </c>
      <c r="P134" s="57" t="s">
        <v>10</v>
      </c>
      <c r="Q134" s="44"/>
      <c r="R134" s="44"/>
    </row>
    <row r="135" spans="1:18" ht="13.5" customHeight="1" thickBot="1" x14ac:dyDescent="0.25">
      <c r="C135" s="27"/>
      <c r="D135" s="96"/>
      <c r="E135" s="96"/>
      <c r="F135" s="96"/>
      <c r="G135" s="27"/>
      <c r="H135" s="47"/>
      <c r="I135" s="23" t="s">
        <v>15</v>
      </c>
      <c r="J135" s="52"/>
      <c r="K135" s="52"/>
      <c r="L135" s="52"/>
      <c r="M135" s="52"/>
      <c r="N135" s="52"/>
      <c r="O135" s="52"/>
      <c r="P135" s="58">
        <f>SUM(J135:O135)</f>
        <v>0</v>
      </c>
      <c r="Q135" s="44"/>
      <c r="R135" s="44"/>
    </row>
    <row r="136" spans="1:18" ht="13.5" customHeight="1" thickTop="1" thickBot="1" x14ac:dyDescent="0.25">
      <c r="C136" s="49"/>
      <c r="D136" s="96"/>
      <c r="E136" s="96"/>
      <c r="F136" s="96"/>
      <c r="G136" s="27"/>
      <c r="H136" s="47"/>
      <c r="I136" s="23" t="s">
        <v>55</v>
      </c>
      <c r="J136" s="52"/>
      <c r="K136" s="52"/>
      <c r="L136" s="52"/>
      <c r="M136" s="52"/>
      <c r="N136" s="52"/>
      <c r="O136" s="52"/>
      <c r="P136" s="59">
        <f>SUM(J136:O136)</f>
        <v>0</v>
      </c>
      <c r="Q136" s="44"/>
      <c r="R136" s="44"/>
    </row>
    <row r="137" spans="1:18" ht="13.5" customHeight="1" thickTop="1" thickBot="1" x14ac:dyDescent="0.25">
      <c r="C137" s="27"/>
      <c r="D137" s="96"/>
      <c r="E137" s="96"/>
      <c r="F137" s="96"/>
      <c r="G137" s="27"/>
      <c r="H137" s="47"/>
      <c r="I137" s="23" t="s">
        <v>3</v>
      </c>
      <c r="J137" s="52"/>
      <c r="K137" s="52"/>
      <c r="L137" s="52"/>
      <c r="M137" s="52"/>
      <c r="N137" s="52"/>
      <c r="O137" s="52"/>
      <c r="P137" s="60">
        <f>SUM(J137:O137)</f>
        <v>0</v>
      </c>
      <c r="Q137" s="44"/>
      <c r="R137" s="44"/>
    </row>
    <row r="138" spans="1:18" ht="13.5" customHeight="1" thickTop="1" x14ac:dyDescent="0.2">
      <c r="C138" s="50" t="s">
        <v>58</v>
      </c>
      <c r="D138" s="97"/>
      <c r="E138" s="97"/>
      <c r="F138" s="97"/>
      <c r="G138" s="29"/>
      <c r="H138" s="48"/>
      <c r="J138" s="44"/>
      <c r="L138" s="44"/>
      <c r="M138" s="44"/>
      <c r="N138" s="44"/>
      <c r="O138" s="44"/>
      <c r="P138" s="44"/>
      <c r="Q138" s="44"/>
      <c r="R138" s="44"/>
    </row>
    <row r="139" spans="1:18" ht="13.5" customHeight="1" x14ac:dyDescent="0.2">
      <c r="J139" s="44"/>
      <c r="L139" s="44"/>
      <c r="M139" s="44"/>
      <c r="N139" s="44"/>
      <c r="O139" s="44"/>
      <c r="P139" s="44"/>
      <c r="Q139" s="44"/>
      <c r="R139" s="44"/>
    </row>
    <row r="140" spans="1:18" ht="13.5" customHeight="1" x14ac:dyDescent="0.2">
      <c r="J140" s="44"/>
      <c r="L140" s="44"/>
      <c r="M140" s="44"/>
      <c r="N140" s="44"/>
      <c r="O140" s="44"/>
      <c r="P140" s="44"/>
      <c r="Q140" s="44"/>
      <c r="R140" s="44"/>
    </row>
    <row r="141" spans="1:18" ht="13.5" customHeight="1" x14ac:dyDescent="0.2">
      <c r="J141" s="44"/>
      <c r="L141" s="44"/>
      <c r="M141" s="44"/>
      <c r="N141" s="44"/>
      <c r="O141" s="44"/>
      <c r="P141" s="44"/>
      <c r="Q141" s="44"/>
      <c r="R141" s="44"/>
    </row>
    <row r="142" spans="1:18" ht="13.5" customHeight="1" x14ac:dyDescent="0.2">
      <c r="B142" s="26"/>
      <c r="Q142" s="44"/>
      <c r="R142" s="44"/>
    </row>
    <row r="143" spans="1:18" ht="13.5" customHeight="1" x14ac:dyDescent="0.2">
      <c r="A143" s="23">
        <v>7</v>
      </c>
      <c r="B143" s="41"/>
      <c r="C143" s="123" t="s">
        <v>60</v>
      </c>
      <c r="D143" s="179"/>
      <c r="E143" s="180"/>
      <c r="F143" s="180"/>
      <c r="G143" s="181"/>
      <c r="H143" s="41"/>
      <c r="Q143" s="44"/>
      <c r="R143" s="44"/>
    </row>
    <row r="144" spans="1:18" ht="13.5" customHeight="1" x14ac:dyDescent="0.2">
      <c r="B144" s="41"/>
      <c r="C144" s="51" t="s">
        <v>7</v>
      </c>
      <c r="D144" s="96"/>
      <c r="H144" s="46"/>
      <c r="Q144" s="44"/>
      <c r="R144" s="44"/>
    </row>
    <row r="145" spans="1:18" ht="13.5" customHeight="1" x14ac:dyDescent="0.2">
      <c r="A145" s="41"/>
      <c r="B145" s="41"/>
      <c r="C145" s="23" t="s">
        <v>17</v>
      </c>
      <c r="D145" s="124"/>
      <c r="H145" s="41"/>
      <c r="Q145" s="44"/>
      <c r="R145" s="44"/>
    </row>
    <row r="146" spans="1:18" ht="13.5" customHeight="1" x14ac:dyDescent="0.2">
      <c r="Q146" s="44"/>
      <c r="R146" s="44"/>
    </row>
    <row r="147" spans="1:18" ht="13.5" customHeight="1" x14ac:dyDescent="0.2">
      <c r="C147" s="23" t="s">
        <v>57</v>
      </c>
      <c r="D147" s="23" t="s">
        <v>54</v>
      </c>
      <c r="E147" s="23" t="s">
        <v>2</v>
      </c>
      <c r="F147" s="23" t="s">
        <v>3</v>
      </c>
      <c r="G147" s="23" t="s">
        <v>42</v>
      </c>
      <c r="Q147" s="44"/>
      <c r="R147" s="44"/>
    </row>
    <row r="148" spans="1:18" ht="13.5" customHeight="1" x14ac:dyDescent="0.2">
      <c r="B148" s="26"/>
      <c r="C148" s="27"/>
      <c r="D148" s="96"/>
      <c r="E148" s="96"/>
      <c r="F148" s="96"/>
      <c r="G148" s="27"/>
      <c r="Q148" s="44"/>
      <c r="R148" s="44"/>
    </row>
    <row r="149" spans="1:18" ht="13.5" customHeight="1" x14ac:dyDescent="0.2">
      <c r="C149" s="27"/>
      <c r="D149" s="96"/>
      <c r="E149" s="96"/>
      <c r="F149" s="96"/>
      <c r="G149" s="27"/>
      <c r="H149" s="47"/>
      <c r="Q149" s="44"/>
      <c r="R149" s="44"/>
    </row>
    <row r="150" spans="1:18" ht="13.5" customHeight="1" x14ac:dyDescent="0.2">
      <c r="C150" s="27"/>
      <c r="D150" s="96"/>
      <c r="E150" s="96"/>
      <c r="F150" s="96"/>
      <c r="G150" s="27"/>
      <c r="H150" s="47"/>
      <c r="I150" s="53"/>
      <c r="J150" s="54"/>
      <c r="K150" s="54"/>
      <c r="L150" s="54"/>
      <c r="P150" s="34"/>
      <c r="Q150" s="44"/>
      <c r="R150" s="44"/>
    </row>
    <row r="151" spans="1:18" ht="13.5" customHeight="1" x14ac:dyDescent="0.2">
      <c r="C151" s="27"/>
      <c r="D151" s="96"/>
      <c r="E151" s="96"/>
      <c r="F151" s="96"/>
      <c r="G151" s="27"/>
      <c r="H151" s="47"/>
      <c r="J151" s="44"/>
      <c r="L151" s="44"/>
      <c r="M151" s="44"/>
      <c r="N151" s="44"/>
      <c r="O151" s="44"/>
      <c r="P151" s="44"/>
      <c r="Q151" s="44"/>
      <c r="R151" s="44"/>
    </row>
    <row r="152" spans="1:18" ht="13.5" customHeight="1" x14ac:dyDescent="0.2">
      <c r="C152" s="27"/>
      <c r="D152" s="96"/>
      <c r="E152" s="96"/>
      <c r="F152" s="96"/>
      <c r="G152" s="27"/>
      <c r="H152" s="47"/>
      <c r="J152" s="44"/>
      <c r="L152" s="44"/>
      <c r="M152" s="44"/>
      <c r="N152" s="44"/>
      <c r="O152" s="44"/>
      <c r="P152" s="44"/>
      <c r="Q152" s="44"/>
      <c r="R152" s="44"/>
    </row>
    <row r="153" spans="1:18" ht="13.5" customHeight="1" x14ac:dyDescent="0.2">
      <c r="C153" s="27"/>
      <c r="D153" s="96"/>
      <c r="E153" s="96"/>
      <c r="F153" s="96"/>
      <c r="G153" s="27"/>
      <c r="H153" s="47"/>
      <c r="J153" s="44"/>
      <c r="L153" s="44"/>
      <c r="M153" s="44"/>
      <c r="N153" s="44"/>
      <c r="O153" s="44"/>
      <c r="P153" s="44"/>
      <c r="Q153" s="44"/>
      <c r="R153" s="44"/>
    </row>
    <row r="154" spans="1:18" ht="13.5" customHeight="1" x14ac:dyDescent="0.2">
      <c r="C154" s="27"/>
      <c r="D154" s="96"/>
      <c r="E154" s="96"/>
      <c r="F154" s="96"/>
      <c r="G154" s="27"/>
      <c r="H154" s="47"/>
      <c r="J154" s="44"/>
      <c r="L154" s="44"/>
      <c r="M154" s="44"/>
      <c r="N154" s="44"/>
      <c r="O154" s="44"/>
      <c r="P154" s="44"/>
      <c r="Q154" s="44"/>
      <c r="R154" s="44"/>
    </row>
    <row r="155" spans="1:18" ht="13.5" customHeight="1" x14ac:dyDescent="0.2">
      <c r="C155" s="27"/>
      <c r="D155" s="96"/>
      <c r="E155" s="96"/>
      <c r="F155" s="96"/>
      <c r="G155" s="27"/>
      <c r="H155" s="47"/>
      <c r="J155" s="44"/>
      <c r="L155" s="44"/>
      <c r="M155" s="44"/>
      <c r="N155" s="44"/>
      <c r="O155" s="44"/>
      <c r="P155" s="44"/>
      <c r="Q155" s="44"/>
      <c r="R155" s="44"/>
    </row>
    <row r="156" spans="1:18" ht="13.5" customHeight="1" x14ac:dyDescent="0.2">
      <c r="C156" s="27"/>
      <c r="D156" s="96"/>
      <c r="E156" s="96"/>
      <c r="F156" s="96"/>
      <c r="G156" s="27"/>
      <c r="H156" s="47"/>
      <c r="J156" s="44"/>
      <c r="L156" s="44"/>
      <c r="M156" s="44"/>
      <c r="N156" s="44"/>
      <c r="O156" s="44"/>
      <c r="P156" s="44"/>
      <c r="Q156" s="44"/>
      <c r="R156" s="44"/>
    </row>
    <row r="157" spans="1:18" ht="13.5" customHeight="1" x14ac:dyDescent="0.2">
      <c r="C157" s="27"/>
      <c r="D157" s="96"/>
      <c r="E157" s="96"/>
      <c r="F157" s="96"/>
      <c r="G157" s="27"/>
      <c r="H157" s="47"/>
      <c r="I157" s="23" t="s">
        <v>56</v>
      </c>
      <c r="J157" s="23">
        <f>Startår</f>
        <v>2022</v>
      </c>
      <c r="K157" s="23">
        <f>J157+1</f>
        <v>2023</v>
      </c>
      <c r="L157" s="23">
        <f>K157+1</f>
        <v>2024</v>
      </c>
      <c r="M157" s="23">
        <f>L157+1</f>
        <v>2025</v>
      </c>
      <c r="N157" s="23">
        <f>M157+1</f>
        <v>2026</v>
      </c>
      <c r="O157" s="23">
        <f>N157+1</f>
        <v>2027</v>
      </c>
      <c r="P157" s="57" t="s">
        <v>10</v>
      </c>
      <c r="Q157" s="44"/>
      <c r="R157" s="44"/>
    </row>
    <row r="158" spans="1:18" ht="13.5" customHeight="1" thickBot="1" x14ac:dyDescent="0.25">
      <c r="C158" s="27"/>
      <c r="D158" s="96"/>
      <c r="E158" s="96"/>
      <c r="F158" s="96"/>
      <c r="G158" s="27"/>
      <c r="H158" s="47"/>
      <c r="I158" s="23" t="s">
        <v>15</v>
      </c>
      <c r="J158" s="52"/>
      <c r="K158" s="52"/>
      <c r="L158" s="52"/>
      <c r="M158" s="52"/>
      <c r="N158" s="52"/>
      <c r="O158" s="52"/>
      <c r="P158" s="58">
        <f>SUM(J158:O158)</f>
        <v>0</v>
      </c>
      <c r="Q158" s="44"/>
      <c r="R158" s="44"/>
    </row>
    <row r="159" spans="1:18" ht="13.5" customHeight="1" thickTop="1" thickBot="1" x14ac:dyDescent="0.25">
      <c r="C159" s="49"/>
      <c r="D159" s="96"/>
      <c r="E159" s="96"/>
      <c r="F159" s="96"/>
      <c r="G159" s="27"/>
      <c r="H159" s="47"/>
      <c r="I159" s="23" t="s">
        <v>55</v>
      </c>
      <c r="J159" s="52"/>
      <c r="K159" s="52"/>
      <c r="L159" s="52"/>
      <c r="M159" s="52"/>
      <c r="N159" s="52"/>
      <c r="O159" s="52"/>
      <c r="P159" s="59">
        <f>SUM(J159:O159)</f>
        <v>0</v>
      </c>
      <c r="Q159" s="44"/>
      <c r="R159" s="44"/>
    </row>
    <row r="160" spans="1:18" ht="13.5" customHeight="1" thickTop="1" thickBot="1" x14ac:dyDescent="0.25">
      <c r="C160" s="27"/>
      <c r="D160" s="96"/>
      <c r="E160" s="96"/>
      <c r="F160" s="96"/>
      <c r="G160" s="27"/>
      <c r="H160" s="47"/>
      <c r="I160" s="23" t="s">
        <v>3</v>
      </c>
      <c r="J160" s="52"/>
      <c r="K160" s="52"/>
      <c r="L160" s="52"/>
      <c r="M160" s="52"/>
      <c r="N160" s="52"/>
      <c r="O160" s="52"/>
      <c r="P160" s="60">
        <f>SUM(J160:O160)</f>
        <v>0</v>
      </c>
      <c r="Q160" s="44"/>
      <c r="R160" s="44"/>
    </row>
    <row r="161" spans="1:18" ht="13.5" customHeight="1" thickTop="1" x14ac:dyDescent="0.2">
      <c r="C161" s="50" t="s">
        <v>58</v>
      </c>
      <c r="D161" s="97"/>
      <c r="E161" s="97"/>
      <c r="F161" s="97"/>
      <c r="G161" s="29"/>
      <c r="H161" s="48"/>
      <c r="J161" s="44"/>
      <c r="L161" s="44"/>
      <c r="M161" s="44"/>
      <c r="N161" s="44"/>
      <c r="O161" s="44"/>
      <c r="P161" s="44"/>
      <c r="Q161" s="44"/>
      <c r="R161" s="44"/>
    </row>
    <row r="162" spans="1:18" ht="13.5" customHeight="1" x14ac:dyDescent="0.2">
      <c r="J162" s="44"/>
      <c r="L162" s="44"/>
      <c r="M162" s="44"/>
      <c r="N162" s="44"/>
      <c r="O162" s="44"/>
      <c r="P162" s="44"/>
      <c r="Q162" s="44"/>
      <c r="R162" s="44"/>
    </row>
    <row r="163" spans="1:18" ht="13.5" customHeight="1" x14ac:dyDescent="0.2">
      <c r="J163" s="44"/>
      <c r="L163" s="44"/>
      <c r="M163" s="44"/>
      <c r="N163" s="44"/>
      <c r="O163" s="44"/>
      <c r="P163" s="44"/>
      <c r="Q163" s="44"/>
      <c r="R163" s="44"/>
    </row>
    <row r="164" spans="1:18" ht="13.5" customHeight="1" x14ac:dyDescent="0.2">
      <c r="B164" s="26"/>
      <c r="J164" s="44"/>
      <c r="L164" s="44"/>
      <c r="M164" s="44"/>
      <c r="N164" s="44"/>
      <c r="O164" s="44"/>
      <c r="P164" s="44"/>
      <c r="Q164" s="44"/>
      <c r="R164" s="44"/>
    </row>
    <row r="165" spans="1:18" ht="13.5" customHeight="1" x14ac:dyDescent="0.2">
      <c r="Q165" s="44"/>
      <c r="R165" s="44"/>
    </row>
    <row r="166" spans="1:18" ht="13.5" customHeight="1" x14ac:dyDescent="0.2">
      <c r="A166" s="23">
        <v>8</v>
      </c>
      <c r="B166" s="41"/>
      <c r="C166" s="123" t="s">
        <v>60</v>
      </c>
      <c r="D166" s="179"/>
      <c r="E166" s="180"/>
      <c r="F166" s="180"/>
      <c r="G166" s="181"/>
      <c r="H166" s="41"/>
      <c r="Q166" s="44"/>
      <c r="R166" s="44"/>
    </row>
    <row r="167" spans="1:18" ht="13.5" customHeight="1" x14ac:dyDescent="0.2">
      <c r="B167" s="41"/>
      <c r="C167" s="51" t="s">
        <v>7</v>
      </c>
      <c r="D167" s="96"/>
      <c r="H167" s="46"/>
      <c r="Q167" s="44"/>
      <c r="R167" s="44"/>
    </row>
    <row r="168" spans="1:18" ht="13.5" customHeight="1" x14ac:dyDescent="0.2">
      <c r="A168" s="41"/>
      <c r="B168" s="41"/>
      <c r="C168" s="23" t="s">
        <v>17</v>
      </c>
      <c r="D168" s="124"/>
      <c r="H168" s="41"/>
      <c r="Q168" s="44"/>
      <c r="R168" s="44"/>
    </row>
    <row r="169" spans="1:18" ht="13.5" customHeight="1" x14ac:dyDescent="0.2">
      <c r="Q169" s="44"/>
      <c r="R169" s="44"/>
    </row>
    <row r="170" spans="1:18" ht="13.5" customHeight="1" x14ac:dyDescent="0.2">
      <c r="C170" s="23" t="s">
        <v>57</v>
      </c>
      <c r="D170" s="23" t="s">
        <v>54</v>
      </c>
      <c r="E170" s="23" t="s">
        <v>2</v>
      </c>
      <c r="F170" s="23" t="s">
        <v>3</v>
      </c>
      <c r="G170" s="23" t="s">
        <v>42</v>
      </c>
      <c r="Q170" s="44"/>
      <c r="R170" s="44"/>
    </row>
    <row r="171" spans="1:18" ht="13.5" customHeight="1" x14ac:dyDescent="0.2">
      <c r="B171" s="26"/>
      <c r="C171" s="27"/>
      <c r="D171" s="96"/>
      <c r="E171" s="96"/>
      <c r="F171" s="96"/>
      <c r="G171" s="27"/>
      <c r="Q171" s="44"/>
      <c r="R171" s="44"/>
    </row>
    <row r="172" spans="1:18" ht="13.5" customHeight="1" x14ac:dyDescent="0.2">
      <c r="C172" s="27"/>
      <c r="D172" s="96"/>
      <c r="E172" s="96"/>
      <c r="F172" s="96"/>
      <c r="G172" s="27"/>
      <c r="H172" s="47"/>
      <c r="Q172" s="44"/>
      <c r="R172" s="44"/>
    </row>
    <row r="173" spans="1:18" ht="13.5" customHeight="1" x14ac:dyDescent="0.2">
      <c r="C173" s="27"/>
      <c r="D173" s="96"/>
      <c r="E173" s="96"/>
      <c r="F173" s="96"/>
      <c r="G173" s="27"/>
      <c r="H173" s="47"/>
      <c r="I173" s="53"/>
      <c r="J173" s="54"/>
      <c r="K173" s="54"/>
      <c r="L173" s="54"/>
      <c r="P173" s="34"/>
      <c r="Q173" s="44"/>
      <c r="R173" s="44"/>
    </row>
    <row r="174" spans="1:18" ht="13.5" customHeight="1" x14ac:dyDescent="0.2">
      <c r="C174" s="27"/>
      <c r="D174" s="96"/>
      <c r="E174" s="96"/>
      <c r="F174" s="96"/>
      <c r="G174" s="27"/>
      <c r="H174" s="47"/>
      <c r="J174" s="44"/>
      <c r="L174" s="44"/>
      <c r="M174" s="44"/>
      <c r="N174" s="44"/>
      <c r="O174" s="44"/>
      <c r="P174" s="44"/>
      <c r="Q174" s="44"/>
      <c r="R174" s="44"/>
    </row>
    <row r="175" spans="1:18" ht="13.5" customHeight="1" x14ac:dyDescent="0.2">
      <c r="C175" s="27"/>
      <c r="D175" s="96"/>
      <c r="E175" s="96"/>
      <c r="F175" s="96"/>
      <c r="G175" s="27"/>
      <c r="H175" s="47"/>
      <c r="J175" s="44"/>
      <c r="L175" s="44"/>
      <c r="M175" s="44"/>
      <c r="N175" s="44"/>
      <c r="O175" s="44"/>
      <c r="P175" s="44"/>
      <c r="Q175" s="44"/>
      <c r="R175" s="44"/>
    </row>
    <row r="176" spans="1:18" ht="13.5" customHeight="1" x14ac:dyDescent="0.2">
      <c r="C176" s="27"/>
      <c r="D176" s="96"/>
      <c r="E176" s="96"/>
      <c r="F176" s="96"/>
      <c r="G176" s="27"/>
      <c r="H176" s="47"/>
      <c r="J176" s="44"/>
      <c r="L176" s="44"/>
      <c r="M176" s="44"/>
      <c r="N176" s="44"/>
      <c r="O176" s="44"/>
      <c r="P176" s="44"/>
      <c r="Q176" s="44"/>
      <c r="R176" s="44"/>
    </row>
    <row r="177" spans="1:18" ht="13.5" customHeight="1" x14ac:dyDescent="0.2">
      <c r="C177" s="27"/>
      <c r="D177" s="96"/>
      <c r="E177" s="96"/>
      <c r="F177" s="96"/>
      <c r="G177" s="27"/>
      <c r="H177" s="47"/>
      <c r="J177" s="44"/>
      <c r="L177" s="44"/>
      <c r="M177" s="44"/>
      <c r="N177" s="44"/>
      <c r="O177" s="44"/>
      <c r="P177" s="44"/>
      <c r="Q177" s="44"/>
      <c r="R177" s="44"/>
    </row>
    <row r="178" spans="1:18" ht="13.5" customHeight="1" x14ac:dyDescent="0.2">
      <c r="C178" s="27"/>
      <c r="D178" s="96"/>
      <c r="E178" s="96"/>
      <c r="F178" s="96"/>
      <c r="G178" s="27"/>
      <c r="H178" s="47"/>
      <c r="J178" s="44"/>
      <c r="L178" s="44"/>
      <c r="M178" s="44"/>
      <c r="N178" s="44"/>
      <c r="O178" s="44"/>
      <c r="P178" s="44"/>
      <c r="Q178" s="44"/>
      <c r="R178" s="44"/>
    </row>
    <row r="179" spans="1:18" ht="13.5" customHeight="1" x14ac:dyDescent="0.2">
      <c r="C179" s="27"/>
      <c r="D179" s="96"/>
      <c r="E179" s="96"/>
      <c r="F179" s="96"/>
      <c r="G179" s="27"/>
      <c r="H179" s="47"/>
      <c r="J179" s="44"/>
      <c r="L179" s="44"/>
      <c r="M179" s="44"/>
      <c r="N179" s="44"/>
      <c r="O179" s="44"/>
      <c r="P179" s="44"/>
      <c r="Q179" s="44"/>
      <c r="R179" s="44"/>
    </row>
    <row r="180" spans="1:18" ht="13.5" customHeight="1" x14ac:dyDescent="0.2">
      <c r="C180" s="27"/>
      <c r="D180" s="96"/>
      <c r="E180" s="96"/>
      <c r="F180" s="96"/>
      <c r="G180" s="27"/>
      <c r="H180" s="47"/>
      <c r="I180" s="23" t="s">
        <v>56</v>
      </c>
      <c r="J180" s="23">
        <f>Startår</f>
        <v>2022</v>
      </c>
      <c r="K180" s="23">
        <f>J180+1</f>
        <v>2023</v>
      </c>
      <c r="L180" s="23">
        <f>K180+1</f>
        <v>2024</v>
      </c>
      <c r="M180" s="23">
        <f>L180+1</f>
        <v>2025</v>
      </c>
      <c r="N180" s="23">
        <f>M180+1</f>
        <v>2026</v>
      </c>
      <c r="O180" s="23">
        <f>N180+1</f>
        <v>2027</v>
      </c>
      <c r="P180" s="57" t="s">
        <v>10</v>
      </c>
      <c r="Q180" s="44"/>
      <c r="R180" s="44"/>
    </row>
    <row r="181" spans="1:18" ht="13.5" customHeight="1" thickBot="1" x14ac:dyDescent="0.25">
      <c r="C181" s="27"/>
      <c r="D181" s="96"/>
      <c r="E181" s="96"/>
      <c r="F181" s="96"/>
      <c r="G181" s="27"/>
      <c r="H181" s="47"/>
      <c r="I181" s="23" t="s">
        <v>15</v>
      </c>
      <c r="J181" s="52"/>
      <c r="K181" s="52"/>
      <c r="L181" s="52"/>
      <c r="M181" s="52"/>
      <c r="N181" s="52"/>
      <c r="O181" s="52"/>
      <c r="P181" s="58">
        <f>SUM(J181:O181)</f>
        <v>0</v>
      </c>
      <c r="Q181" s="44"/>
      <c r="R181" s="44"/>
    </row>
    <row r="182" spans="1:18" ht="13.5" customHeight="1" thickTop="1" thickBot="1" x14ac:dyDescent="0.25">
      <c r="C182" s="49"/>
      <c r="D182" s="96"/>
      <c r="E182" s="96"/>
      <c r="F182" s="96"/>
      <c r="G182" s="27"/>
      <c r="H182" s="47"/>
      <c r="I182" s="23" t="s">
        <v>55</v>
      </c>
      <c r="J182" s="52"/>
      <c r="K182" s="52"/>
      <c r="L182" s="52"/>
      <c r="M182" s="52"/>
      <c r="N182" s="52"/>
      <c r="O182" s="52"/>
      <c r="P182" s="59">
        <f>SUM(J182:O182)</f>
        <v>0</v>
      </c>
      <c r="Q182" s="44"/>
      <c r="R182" s="44"/>
    </row>
    <row r="183" spans="1:18" ht="13.5" customHeight="1" thickTop="1" thickBot="1" x14ac:dyDescent="0.25">
      <c r="C183" s="27"/>
      <c r="D183" s="96"/>
      <c r="E183" s="96"/>
      <c r="F183" s="96"/>
      <c r="G183" s="27"/>
      <c r="H183" s="47"/>
      <c r="I183" s="23" t="s">
        <v>3</v>
      </c>
      <c r="J183" s="52"/>
      <c r="K183" s="52"/>
      <c r="L183" s="52"/>
      <c r="M183" s="52"/>
      <c r="N183" s="52"/>
      <c r="O183" s="52"/>
      <c r="P183" s="60">
        <f>SUM(J183:O183)</f>
        <v>0</v>
      </c>
      <c r="Q183" s="44"/>
      <c r="R183" s="44"/>
    </row>
    <row r="184" spans="1:18" ht="13.5" customHeight="1" thickTop="1" x14ac:dyDescent="0.2">
      <c r="C184" s="50" t="s">
        <v>58</v>
      </c>
      <c r="D184" s="97"/>
      <c r="E184" s="97"/>
      <c r="F184" s="97"/>
      <c r="G184" s="29"/>
      <c r="H184" s="48"/>
      <c r="J184" s="44"/>
      <c r="L184" s="44"/>
      <c r="M184" s="44"/>
      <c r="N184" s="44"/>
      <c r="O184" s="44"/>
      <c r="P184" s="44"/>
      <c r="Q184" s="44"/>
      <c r="R184" s="44"/>
    </row>
    <row r="185" spans="1:18" ht="13.5" customHeight="1" x14ac:dyDescent="0.2">
      <c r="J185" s="44"/>
      <c r="L185" s="44"/>
      <c r="M185" s="44"/>
      <c r="N185" s="44"/>
      <c r="O185" s="44"/>
      <c r="P185" s="44"/>
      <c r="Q185" s="44"/>
      <c r="R185" s="44"/>
    </row>
    <row r="186" spans="1:18" ht="13.5" customHeight="1" x14ac:dyDescent="0.2">
      <c r="B186" s="26"/>
      <c r="J186" s="44"/>
      <c r="L186" s="44"/>
      <c r="M186" s="44"/>
      <c r="N186" s="44"/>
      <c r="O186" s="44"/>
      <c r="P186" s="44"/>
      <c r="Q186" s="44"/>
      <c r="R186" s="44"/>
    </row>
    <row r="187" spans="1:18" ht="13.5" customHeight="1" x14ac:dyDescent="0.2">
      <c r="J187" s="44"/>
      <c r="L187" s="44"/>
      <c r="M187" s="44"/>
      <c r="N187" s="44"/>
      <c r="O187" s="44"/>
      <c r="P187" s="44"/>
      <c r="Q187" s="44"/>
      <c r="R187" s="44"/>
    </row>
    <row r="188" spans="1:18" ht="13.5" customHeight="1" x14ac:dyDescent="0.2">
      <c r="Q188" s="44"/>
      <c r="R188" s="44"/>
    </row>
    <row r="189" spans="1:18" ht="13.5" customHeight="1" x14ac:dyDescent="0.2">
      <c r="A189" s="23">
        <v>9</v>
      </c>
      <c r="B189" s="41"/>
      <c r="C189" s="123" t="s">
        <v>60</v>
      </c>
      <c r="D189" s="179"/>
      <c r="E189" s="180"/>
      <c r="F189" s="180"/>
      <c r="G189" s="181"/>
      <c r="H189" s="41"/>
      <c r="Q189" s="44"/>
      <c r="R189" s="44"/>
    </row>
    <row r="190" spans="1:18" ht="13.5" customHeight="1" x14ac:dyDescent="0.2">
      <c r="B190" s="41"/>
      <c r="C190" s="51" t="s">
        <v>7</v>
      </c>
      <c r="D190" s="96"/>
      <c r="H190" s="46"/>
      <c r="Q190" s="44"/>
      <c r="R190" s="44"/>
    </row>
    <row r="191" spans="1:18" ht="13.5" customHeight="1" x14ac:dyDescent="0.2">
      <c r="A191" s="41"/>
      <c r="B191" s="41"/>
      <c r="C191" s="23" t="s">
        <v>17</v>
      </c>
      <c r="D191" s="124"/>
      <c r="H191" s="41"/>
      <c r="Q191" s="44"/>
      <c r="R191" s="44"/>
    </row>
    <row r="192" spans="1:18" ht="13.5" customHeight="1" x14ac:dyDescent="0.2">
      <c r="Q192" s="44"/>
      <c r="R192" s="44"/>
    </row>
    <row r="193" spans="2:18" ht="13.5" customHeight="1" x14ac:dyDescent="0.2">
      <c r="C193" s="23" t="s">
        <v>57</v>
      </c>
      <c r="D193" s="23" t="s">
        <v>54</v>
      </c>
      <c r="E193" s="23" t="s">
        <v>2</v>
      </c>
      <c r="F193" s="23" t="s">
        <v>3</v>
      </c>
      <c r="G193" s="23" t="s">
        <v>42</v>
      </c>
      <c r="Q193" s="44"/>
      <c r="R193" s="44"/>
    </row>
    <row r="194" spans="2:18" ht="13.5" customHeight="1" x14ac:dyDescent="0.2">
      <c r="B194" s="26"/>
      <c r="C194" s="27"/>
      <c r="D194" s="96"/>
      <c r="E194" s="96"/>
      <c r="F194" s="96"/>
      <c r="G194" s="27"/>
      <c r="Q194" s="44"/>
      <c r="R194" s="44"/>
    </row>
    <row r="195" spans="2:18" ht="13.5" customHeight="1" x14ac:dyDescent="0.2">
      <c r="C195" s="27"/>
      <c r="D195" s="96"/>
      <c r="E195" s="96"/>
      <c r="F195" s="96"/>
      <c r="G195" s="27"/>
      <c r="H195" s="47"/>
      <c r="Q195" s="44"/>
      <c r="R195" s="44"/>
    </row>
    <row r="196" spans="2:18" ht="13.5" customHeight="1" x14ac:dyDescent="0.2">
      <c r="C196" s="27"/>
      <c r="D196" s="96"/>
      <c r="E196" s="96"/>
      <c r="F196" s="96"/>
      <c r="G196" s="27"/>
      <c r="H196" s="47"/>
      <c r="I196" s="53"/>
      <c r="J196" s="54"/>
      <c r="K196" s="54"/>
      <c r="L196" s="54"/>
      <c r="P196" s="34"/>
      <c r="Q196" s="44"/>
      <c r="R196" s="44"/>
    </row>
    <row r="197" spans="2:18" ht="13.5" customHeight="1" x14ac:dyDescent="0.2">
      <c r="C197" s="27"/>
      <c r="D197" s="96"/>
      <c r="E197" s="96"/>
      <c r="F197" s="96"/>
      <c r="G197" s="27"/>
      <c r="H197" s="47"/>
      <c r="J197" s="44"/>
      <c r="L197" s="44"/>
      <c r="M197" s="44"/>
      <c r="N197" s="44"/>
      <c r="O197" s="44"/>
      <c r="P197" s="44"/>
      <c r="Q197" s="44"/>
      <c r="R197" s="44"/>
    </row>
    <row r="198" spans="2:18" ht="13.5" customHeight="1" x14ac:dyDescent="0.2">
      <c r="C198" s="27"/>
      <c r="D198" s="96"/>
      <c r="E198" s="96"/>
      <c r="F198" s="96"/>
      <c r="G198" s="27"/>
      <c r="H198" s="47"/>
      <c r="J198" s="44"/>
      <c r="L198" s="44"/>
      <c r="M198" s="44"/>
      <c r="N198" s="44"/>
      <c r="O198" s="44"/>
      <c r="P198" s="44"/>
      <c r="Q198" s="44"/>
      <c r="R198" s="44"/>
    </row>
    <row r="199" spans="2:18" ht="13.5" customHeight="1" x14ac:dyDescent="0.2">
      <c r="C199" s="27"/>
      <c r="D199" s="96"/>
      <c r="E199" s="96"/>
      <c r="F199" s="96"/>
      <c r="G199" s="27"/>
      <c r="H199" s="47"/>
      <c r="J199" s="44"/>
      <c r="L199" s="44"/>
      <c r="M199" s="44"/>
      <c r="N199" s="44"/>
      <c r="O199" s="44"/>
      <c r="P199" s="44"/>
      <c r="Q199" s="44"/>
      <c r="R199" s="44"/>
    </row>
    <row r="200" spans="2:18" ht="13.5" customHeight="1" x14ac:dyDescent="0.2">
      <c r="C200" s="27"/>
      <c r="D200" s="96"/>
      <c r="E200" s="96"/>
      <c r="F200" s="96"/>
      <c r="G200" s="27"/>
      <c r="H200" s="47"/>
      <c r="J200" s="44"/>
      <c r="L200" s="44"/>
      <c r="M200" s="44"/>
      <c r="N200" s="44"/>
      <c r="O200" s="44"/>
      <c r="P200" s="44"/>
      <c r="Q200" s="44"/>
      <c r="R200" s="44"/>
    </row>
    <row r="201" spans="2:18" ht="13.5" customHeight="1" x14ac:dyDescent="0.2">
      <c r="C201" s="27"/>
      <c r="D201" s="96"/>
      <c r="E201" s="96"/>
      <c r="F201" s="96"/>
      <c r="G201" s="27"/>
      <c r="H201" s="47"/>
      <c r="J201" s="44"/>
      <c r="L201" s="44"/>
      <c r="M201" s="44"/>
      <c r="N201" s="44"/>
      <c r="O201" s="44"/>
      <c r="P201" s="44"/>
      <c r="Q201" s="44"/>
      <c r="R201" s="44"/>
    </row>
    <row r="202" spans="2:18" ht="13.5" customHeight="1" x14ac:dyDescent="0.2">
      <c r="C202" s="27"/>
      <c r="D202" s="96"/>
      <c r="E202" s="96"/>
      <c r="F202" s="96"/>
      <c r="G202" s="27"/>
      <c r="H202" s="47"/>
      <c r="J202" s="44"/>
      <c r="L202" s="44"/>
      <c r="M202" s="44"/>
      <c r="N202" s="44"/>
      <c r="O202" s="44"/>
      <c r="P202" s="44"/>
      <c r="Q202" s="44"/>
      <c r="R202" s="44"/>
    </row>
    <row r="203" spans="2:18" ht="13.5" customHeight="1" x14ac:dyDescent="0.2">
      <c r="C203" s="27"/>
      <c r="D203" s="96"/>
      <c r="E203" s="96"/>
      <c r="F203" s="96"/>
      <c r="G203" s="27"/>
      <c r="H203" s="47"/>
      <c r="I203" s="23" t="s">
        <v>56</v>
      </c>
      <c r="J203" s="23">
        <f>Startår</f>
        <v>2022</v>
      </c>
      <c r="K203" s="23">
        <f>J203+1</f>
        <v>2023</v>
      </c>
      <c r="L203" s="23">
        <f>K203+1</f>
        <v>2024</v>
      </c>
      <c r="M203" s="23">
        <f>L203+1</f>
        <v>2025</v>
      </c>
      <c r="N203" s="23">
        <f>M203+1</f>
        <v>2026</v>
      </c>
      <c r="O203" s="23">
        <f>N203+1</f>
        <v>2027</v>
      </c>
      <c r="P203" s="57" t="s">
        <v>10</v>
      </c>
      <c r="Q203" s="44"/>
      <c r="R203" s="44"/>
    </row>
    <row r="204" spans="2:18" ht="13.5" customHeight="1" thickBot="1" x14ac:dyDescent="0.25">
      <c r="C204" s="27"/>
      <c r="D204" s="96"/>
      <c r="E204" s="96"/>
      <c r="F204" s="96"/>
      <c r="G204" s="27"/>
      <c r="H204" s="47"/>
      <c r="I204" s="23" t="s">
        <v>15</v>
      </c>
      <c r="J204" s="52"/>
      <c r="K204" s="52"/>
      <c r="L204" s="52"/>
      <c r="M204" s="52"/>
      <c r="N204" s="52"/>
      <c r="O204" s="52"/>
      <c r="P204" s="58">
        <f>SUM(J204:O204)</f>
        <v>0</v>
      </c>
      <c r="Q204" s="44"/>
      <c r="R204" s="44"/>
    </row>
    <row r="205" spans="2:18" ht="13.5" customHeight="1" thickTop="1" thickBot="1" x14ac:dyDescent="0.25">
      <c r="C205" s="49"/>
      <c r="D205" s="96"/>
      <c r="E205" s="96"/>
      <c r="F205" s="96"/>
      <c r="G205" s="27"/>
      <c r="H205" s="47"/>
      <c r="I205" s="23" t="s">
        <v>55</v>
      </c>
      <c r="J205" s="52"/>
      <c r="K205" s="52"/>
      <c r="L205" s="52"/>
      <c r="M205" s="52"/>
      <c r="N205" s="52"/>
      <c r="O205" s="52"/>
      <c r="P205" s="59">
        <f>SUM(J205:O205)</f>
        <v>0</v>
      </c>
      <c r="Q205" s="44"/>
      <c r="R205" s="44"/>
    </row>
    <row r="206" spans="2:18" ht="13.5" customHeight="1" thickTop="1" thickBot="1" x14ac:dyDescent="0.25">
      <c r="C206" s="27"/>
      <c r="D206" s="96"/>
      <c r="E206" s="96"/>
      <c r="F206" s="96"/>
      <c r="G206" s="27"/>
      <c r="H206" s="47"/>
      <c r="I206" s="23" t="s">
        <v>3</v>
      </c>
      <c r="J206" s="52"/>
      <c r="K206" s="52"/>
      <c r="L206" s="52"/>
      <c r="M206" s="52"/>
      <c r="N206" s="52"/>
      <c r="O206" s="52"/>
      <c r="P206" s="60">
        <f>SUM(J206:O206)</f>
        <v>0</v>
      </c>
      <c r="Q206" s="44"/>
      <c r="R206" s="44"/>
    </row>
    <row r="207" spans="2:18" ht="13.5" customHeight="1" thickTop="1" x14ac:dyDescent="0.2">
      <c r="C207" s="50" t="s">
        <v>58</v>
      </c>
      <c r="D207" s="97"/>
      <c r="E207" s="97"/>
      <c r="F207" s="97"/>
      <c r="G207" s="29"/>
      <c r="H207" s="48"/>
      <c r="J207" s="44"/>
      <c r="L207" s="44"/>
      <c r="M207" s="44"/>
      <c r="N207" s="44"/>
      <c r="O207" s="44"/>
      <c r="P207" s="44"/>
      <c r="Q207" s="44"/>
      <c r="R207" s="44"/>
    </row>
    <row r="208" spans="2:18" ht="13.5" customHeight="1" x14ac:dyDescent="0.2">
      <c r="J208" s="44"/>
      <c r="L208" s="44"/>
      <c r="M208" s="44"/>
      <c r="N208" s="44"/>
      <c r="O208" s="44"/>
      <c r="P208" s="44"/>
      <c r="Q208" s="44"/>
      <c r="R208" s="44"/>
    </row>
    <row r="209" spans="1:18" ht="13.5" customHeight="1" x14ac:dyDescent="0.2">
      <c r="J209" s="44"/>
      <c r="L209" s="44"/>
      <c r="M209" s="44"/>
      <c r="N209" s="44"/>
      <c r="O209" s="44"/>
      <c r="P209" s="44"/>
      <c r="Q209" s="44"/>
      <c r="R209" s="44"/>
    </row>
    <row r="210" spans="1:18" ht="13.5" customHeight="1" x14ac:dyDescent="0.2">
      <c r="J210" s="44"/>
      <c r="L210" s="44"/>
      <c r="M210" s="44"/>
      <c r="N210" s="44"/>
      <c r="O210" s="44"/>
      <c r="P210" s="44"/>
      <c r="Q210" s="44"/>
      <c r="R210" s="44"/>
    </row>
    <row r="211" spans="1:18" ht="13.5" customHeight="1" x14ac:dyDescent="0.2">
      <c r="Q211" s="44"/>
      <c r="R211" s="44"/>
    </row>
    <row r="212" spans="1:18" ht="13.5" customHeight="1" x14ac:dyDescent="0.2">
      <c r="A212" s="23">
        <v>10</v>
      </c>
      <c r="B212" s="41"/>
      <c r="C212" s="123" t="s">
        <v>60</v>
      </c>
      <c r="D212" s="179"/>
      <c r="E212" s="180"/>
      <c r="F212" s="180"/>
      <c r="G212" s="181"/>
      <c r="H212" s="41"/>
      <c r="Q212" s="44"/>
      <c r="R212" s="44"/>
    </row>
    <row r="213" spans="1:18" ht="13.5" customHeight="1" x14ac:dyDescent="0.2">
      <c r="B213" s="41"/>
      <c r="C213" s="51" t="s">
        <v>7</v>
      </c>
      <c r="D213" s="96"/>
      <c r="H213" s="46"/>
      <c r="Q213" s="44"/>
      <c r="R213" s="44"/>
    </row>
    <row r="214" spans="1:18" ht="13.5" customHeight="1" x14ac:dyDescent="0.2">
      <c r="A214" s="41"/>
      <c r="B214" s="41"/>
      <c r="C214" s="23" t="s">
        <v>17</v>
      </c>
      <c r="D214" s="124"/>
      <c r="H214" s="41"/>
      <c r="Q214" s="44"/>
      <c r="R214" s="44"/>
    </row>
    <row r="215" spans="1:18" ht="13.5" customHeight="1" x14ac:dyDescent="0.2">
      <c r="Q215" s="44"/>
      <c r="R215" s="44"/>
    </row>
    <row r="216" spans="1:18" ht="13.5" customHeight="1" x14ac:dyDescent="0.2">
      <c r="C216" s="23" t="s">
        <v>57</v>
      </c>
      <c r="D216" s="23" t="s">
        <v>54</v>
      </c>
      <c r="E216" s="23" t="s">
        <v>2</v>
      </c>
      <c r="F216" s="23" t="s">
        <v>3</v>
      </c>
      <c r="G216" s="23" t="s">
        <v>42</v>
      </c>
      <c r="Q216" s="44"/>
      <c r="R216" s="44"/>
    </row>
    <row r="217" spans="1:18" ht="13.5" customHeight="1" x14ac:dyDescent="0.2">
      <c r="B217" s="26"/>
      <c r="C217" s="27"/>
      <c r="D217" s="96"/>
      <c r="E217" s="96"/>
      <c r="F217" s="96"/>
      <c r="G217" s="27"/>
      <c r="Q217" s="44"/>
      <c r="R217" s="44"/>
    </row>
    <row r="218" spans="1:18" ht="13.5" customHeight="1" x14ac:dyDescent="0.2">
      <c r="C218" s="27"/>
      <c r="D218" s="96"/>
      <c r="E218" s="96"/>
      <c r="F218" s="96"/>
      <c r="G218" s="27"/>
      <c r="H218" s="47"/>
      <c r="Q218" s="44"/>
      <c r="R218" s="44"/>
    </row>
    <row r="219" spans="1:18" ht="13.5" customHeight="1" x14ac:dyDescent="0.2">
      <c r="C219" s="27"/>
      <c r="D219" s="96"/>
      <c r="E219" s="96"/>
      <c r="F219" s="96"/>
      <c r="G219" s="27"/>
      <c r="H219" s="47"/>
      <c r="I219" s="53"/>
      <c r="J219" s="54"/>
      <c r="K219" s="54"/>
      <c r="L219" s="54"/>
      <c r="P219" s="34"/>
      <c r="Q219" s="44"/>
      <c r="R219" s="44"/>
    </row>
    <row r="220" spans="1:18" ht="13.5" customHeight="1" x14ac:dyDescent="0.2">
      <c r="C220" s="27"/>
      <c r="D220" s="96"/>
      <c r="E220" s="96"/>
      <c r="F220" s="96"/>
      <c r="G220" s="27"/>
      <c r="H220" s="47"/>
      <c r="J220" s="44"/>
      <c r="L220" s="44"/>
      <c r="M220" s="44"/>
      <c r="N220" s="44"/>
      <c r="O220" s="44"/>
      <c r="P220" s="44"/>
      <c r="Q220" s="44"/>
      <c r="R220" s="44"/>
    </row>
    <row r="221" spans="1:18" ht="13.5" customHeight="1" x14ac:dyDescent="0.2">
      <c r="C221" s="27"/>
      <c r="D221" s="96"/>
      <c r="E221" s="96"/>
      <c r="F221" s="96"/>
      <c r="G221" s="27"/>
      <c r="H221" s="47"/>
      <c r="J221" s="44"/>
      <c r="L221" s="44"/>
      <c r="M221" s="44"/>
      <c r="N221" s="44"/>
      <c r="O221" s="44"/>
      <c r="P221" s="44"/>
      <c r="Q221" s="44"/>
      <c r="R221" s="44"/>
    </row>
    <row r="222" spans="1:18" ht="13.5" customHeight="1" x14ac:dyDescent="0.2">
      <c r="C222" s="27"/>
      <c r="D222" s="96"/>
      <c r="E222" s="96"/>
      <c r="F222" s="96"/>
      <c r="G222" s="27"/>
      <c r="H222" s="47"/>
      <c r="J222" s="44"/>
      <c r="L222" s="44"/>
      <c r="M222" s="44"/>
      <c r="N222" s="44"/>
      <c r="O222" s="44"/>
      <c r="P222" s="44"/>
      <c r="Q222" s="44"/>
      <c r="R222" s="44"/>
    </row>
    <row r="223" spans="1:18" ht="13.5" customHeight="1" x14ac:dyDescent="0.2">
      <c r="C223" s="27"/>
      <c r="D223" s="96"/>
      <c r="E223" s="96"/>
      <c r="F223" s="96"/>
      <c r="G223" s="27"/>
      <c r="H223" s="47"/>
      <c r="J223" s="44"/>
      <c r="L223" s="44"/>
      <c r="M223" s="44"/>
      <c r="N223" s="44"/>
      <c r="O223" s="44"/>
      <c r="P223" s="44"/>
      <c r="Q223" s="44"/>
      <c r="R223" s="44"/>
    </row>
    <row r="224" spans="1:18" ht="13.5" customHeight="1" x14ac:dyDescent="0.2">
      <c r="C224" s="27"/>
      <c r="D224" s="96"/>
      <c r="E224" s="96"/>
      <c r="F224" s="96"/>
      <c r="G224" s="27"/>
      <c r="H224" s="47"/>
      <c r="J224" s="44"/>
      <c r="L224" s="44"/>
      <c r="M224" s="44"/>
      <c r="N224" s="44"/>
      <c r="O224" s="44"/>
      <c r="P224" s="44"/>
      <c r="Q224" s="44"/>
      <c r="R224" s="44"/>
    </row>
    <row r="225" spans="1:18" ht="13.5" customHeight="1" x14ac:dyDescent="0.2">
      <c r="C225" s="27"/>
      <c r="D225" s="96"/>
      <c r="E225" s="96"/>
      <c r="F225" s="96"/>
      <c r="G225" s="27"/>
      <c r="H225" s="47"/>
      <c r="J225" s="44"/>
      <c r="L225" s="44"/>
      <c r="M225" s="44"/>
      <c r="N225" s="44"/>
      <c r="O225" s="44"/>
      <c r="P225" s="44"/>
      <c r="Q225" s="44"/>
      <c r="R225" s="44"/>
    </row>
    <row r="226" spans="1:18" ht="13.5" customHeight="1" x14ac:dyDescent="0.2">
      <c r="C226" s="27"/>
      <c r="D226" s="96"/>
      <c r="E226" s="96"/>
      <c r="F226" s="96"/>
      <c r="G226" s="27"/>
      <c r="H226" s="47"/>
      <c r="I226" s="23" t="s">
        <v>56</v>
      </c>
      <c r="J226" s="23">
        <f>Startår</f>
        <v>2022</v>
      </c>
      <c r="K226" s="23">
        <f>J226+1</f>
        <v>2023</v>
      </c>
      <c r="L226" s="23">
        <f>K226+1</f>
        <v>2024</v>
      </c>
      <c r="M226" s="23">
        <f>L226+1</f>
        <v>2025</v>
      </c>
      <c r="N226" s="23">
        <f>M226+1</f>
        <v>2026</v>
      </c>
      <c r="O226" s="23">
        <f>N226+1</f>
        <v>2027</v>
      </c>
      <c r="P226" s="57" t="s">
        <v>10</v>
      </c>
      <c r="Q226" s="44"/>
      <c r="R226" s="44"/>
    </row>
    <row r="227" spans="1:18" ht="13.5" customHeight="1" thickBot="1" x14ac:dyDescent="0.25">
      <c r="C227" s="27"/>
      <c r="D227" s="96"/>
      <c r="E227" s="96"/>
      <c r="F227" s="96"/>
      <c r="G227" s="27"/>
      <c r="H227" s="47"/>
      <c r="I227" s="23" t="s">
        <v>15</v>
      </c>
      <c r="J227" s="52"/>
      <c r="K227" s="52"/>
      <c r="L227" s="52"/>
      <c r="M227" s="52"/>
      <c r="N227" s="52"/>
      <c r="O227" s="52"/>
      <c r="P227" s="58">
        <f>SUM(J227:O227)</f>
        <v>0</v>
      </c>
      <c r="Q227" s="44"/>
      <c r="R227" s="44"/>
    </row>
    <row r="228" spans="1:18" ht="13.5" customHeight="1" thickTop="1" thickBot="1" x14ac:dyDescent="0.25">
      <c r="C228" s="49"/>
      <c r="D228" s="96"/>
      <c r="E228" s="96"/>
      <c r="F228" s="96"/>
      <c r="G228" s="27"/>
      <c r="H228" s="47"/>
      <c r="I228" s="23" t="s">
        <v>55</v>
      </c>
      <c r="J228" s="52"/>
      <c r="K228" s="52"/>
      <c r="L228" s="52"/>
      <c r="M228" s="52"/>
      <c r="N228" s="52"/>
      <c r="O228" s="52"/>
      <c r="P228" s="59">
        <f>SUM(J228:O228)</f>
        <v>0</v>
      </c>
      <c r="Q228" s="44"/>
      <c r="R228" s="44"/>
    </row>
    <row r="229" spans="1:18" ht="13.5" customHeight="1" thickTop="1" thickBot="1" x14ac:dyDescent="0.25">
      <c r="C229" s="27"/>
      <c r="D229" s="96"/>
      <c r="E229" s="96"/>
      <c r="F229" s="96"/>
      <c r="G229" s="27"/>
      <c r="H229" s="47"/>
      <c r="I229" s="23" t="s">
        <v>3</v>
      </c>
      <c r="J229" s="52"/>
      <c r="K229" s="52"/>
      <c r="L229" s="52"/>
      <c r="M229" s="52"/>
      <c r="N229" s="52"/>
      <c r="O229" s="52"/>
      <c r="P229" s="60">
        <f>SUM(J229:O229)</f>
        <v>0</v>
      </c>
      <c r="Q229" s="44"/>
      <c r="R229" s="44"/>
    </row>
    <row r="230" spans="1:18" ht="13.5" customHeight="1" thickTop="1" x14ac:dyDescent="0.2">
      <c r="C230" s="50" t="s">
        <v>58</v>
      </c>
      <c r="D230" s="97"/>
      <c r="E230" s="97"/>
      <c r="F230" s="97"/>
      <c r="G230" s="29"/>
      <c r="H230" s="48"/>
      <c r="J230" s="44"/>
      <c r="L230" s="44"/>
      <c r="M230" s="44"/>
      <c r="N230" s="44"/>
      <c r="O230" s="44"/>
      <c r="P230" s="44"/>
      <c r="Q230" s="44"/>
      <c r="R230" s="44"/>
    </row>
    <row r="231" spans="1:18" ht="13.5" customHeight="1" x14ac:dyDescent="0.2">
      <c r="J231" s="44"/>
      <c r="L231" s="44"/>
      <c r="M231" s="44"/>
      <c r="N231" s="44"/>
      <c r="O231" s="44"/>
      <c r="P231" s="44"/>
      <c r="Q231" s="44"/>
      <c r="R231" s="44"/>
    </row>
    <row r="232" spans="1:18" ht="13.5" customHeight="1" x14ac:dyDescent="0.2">
      <c r="J232" s="44"/>
      <c r="L232" s="44"/>
      <c r="M232" s="44"/>
      <c r="N232" s="44"/>
      <c r="O232" s="44"/>
      <c r="P232" s="44"/>
      <c r="Q232" s="44"/>
      <c r="R232" s="44"/>
    </row>
    <row r="233" spans="1:18" ht="13.5" customHeight="1" x14ac:dyDescent="0.2">
      <c r="J233" s="44"/>
      <c r="L233" s="44"/>
      <c r="M233" s="44"/>
      <c r="N233" s="44"/>
      <c r="O233" s="44"/>
      <c r="P233" s="44"/>
      <c r="Q233" s="44"/>
      <c r="R233" s="44"/>
    </row>
    <row r="234" spans="1:18" ht="13.5" customHeight="1" x14ac:dyDescent="0.2">
      <c r="Q234" s="44"/>
      <c r="R234" s="44"/>
    </row>
    <row r="235" spans="1:18" ht="13.5" customHeight="1" x14ac:dyDescent="0.2">
      <c r="A235" s="23">
        <v>11</v>
      </c>
      <c r="B235" s="41"/>
      <c r="C235" s="123" t="s">
        <v>60</v>
      </c>
      <c r="D235" s="179"/>
      <c r="E235" s="180"/>
      <c r="F235" s="180"/>
      <c r="G235" s="181"/>
      <c r="H235" s="41"/>
      <c r="Q235" s="44"/>
      <c r="R235" s="44"/>
    </row>
    <row r="236" spans="1:18" ht="13.5" customHeight="1" x14ac:dyDescent="0.2">
      <c r="B236" s="41"/>
      <c r="C236" s="51" t="s">
        <v>7</v>
      </c>
      <c r="D236" s="96"/>
      <c r="H236" s="46"/>
      <c r="Q236" s="44"/>
      <c r="R236" s="44"/>
    </row>
    <row r="237" spans="1:18" ht="13.5" customHeight="1" x14ac:dyDescent="0.2">
      <c r="A237" s="41"/>
      <c r="B237" s="41"/>
      <c r="C237" s="23" t="s">
        <v>17</v>
      </c>
      <c r="D237" s="124"/>
      <c r="H237" s="41"/>
      <c r="Q237" s="44"/>
      <c r="R237" s="44"/>
    </row>
    <row r="238" spans="1:18" ht="13.5" customHeight="1" x14ac:dyDescent="0.2">
      <c r="Q238" s="44"/>
      <c r="R238" s="44"/>
    </row>
    <row r="239" spans="1:18" ht="13.5" customHeight="1" x14ac:dyDescent="0.2">
      <c r="C239" s="23" t="s">
        <v>57</v>
      </c>
      <c r="D239" s="23" t="s">
        <v>54</v>
      </c>
      <c r="E239" s="23" t="s">
        <v>2</v>
      </c>
      <c r="F239" s="23" t="s">
        <v>3</v>
      </c>
      <c r="G239" s="23" t="s">
        <v>42</v>
      </c>
      <c r="Q239" s="44"/>
      <c r="R239" s="44"/>
    </row>
    <row r="240" spans="1:18" ht="13.5" customHeight="1" x14ac:dyDescent="0.2">
      <c r="B240" s="26"/>
      <c r="C240" s="27"/>
      <c r="D240" s="96"/>
      <c r="E240" s="96"/>
      <c r="F240" s="96"/>
      <c r="G240" s="27"/>
      <c r="Q240" s="44"/>
      <c r="R240" s="44"/>
    </row>
    <row r="241" spans="3:18" ht="13.5" customHeight="1" x14ac:dyDescent="0.2">
      <c r="C241" s="27"/>
      <c r="D241" s="96"/>
      <c r="E241" s="96"/>
      <c r="F241" s="96"/>
      <c r="G241" s="27"/>
      <c r="H241" s="47"/>
      <c r="Q241" s="44"/>
      <c r="R241" s="44"/>
    </row>
    <row r="242" spans="3:18" ht="13.5" customHeight="1" x14ac:dyDescent="0.2">
      <c r="C242" s="27"/>
      <c r="D242" s="96"/>
      <c r="E242" s="96"/>
      <c r="F242" s="96"/>
      <c r="G242" s="27"/>
      <c r="H242" s="47"/>
      <c r="I242" s="53"/>
      <c r="J242" s="54"/>
      <c r="K242" s="54"/>
      <c r="L242" s="54"/>
      <c r="P242" s="34"/>
      <c r="Q242" s="44"/>
      <c r="R242" s="44"/>
    </row>
    <row r="243" spans="3:18" ht="13.5" customHeight="1" x14ac:dyDescent="0.2">
      <c r="C243" s="27"/>
      <c r="D243" s="96"/>
      <c r="E243" s="96"/>
      <c r="F243" s="96"/>
      <c r="G243" s="27"/>
      <c r="H243" s="47"/>
      <c r="J243" s="44"/>
      <c r="L243" s="44"/>
      <c r="M243" s="44"/>
      <c r="N243" s="44"/>
      <c r="O243" s="44"/>
      <c r="P243" s="44"/>
      <c r="Q243" s="44"/>
      <c r="R243" s="44"/>
    </row>
    <row r="244" spans="3:18" ht="13.5" customHeight="1" x14ac:dyDescent="0.2">
      <c r="C244" s="27"/>
      <c r="D244" s="96"/>
      <c r="E244" s="96"/>
      <c r="F244" s="96"/>
      <c r="G244" s="27"/>
      <c r="H244" s="47"/>
      <c r="J244" s="44"/>
      <c r="L244" s="44"/>
      <c r="M244" s="44"/>
      <c r="N244" s="44"/>
      <c r="O244" s="44"/>
      <c r="P244" s="44"/>
      <c r="Q244" s="44"/>
      <c r="R244" s="44"/>
    </row>
    <row r="245" spans="3:18" ht="13.5" customHeight="1" x14ac:dyDescent="0.2">
      <c r="C245" s="27"/>
      <c r="D245" s="96"/>
      <c r="E245" s="96"/>
      <c r="F245" s="96"/>
      <c r="G245" s="27"/>
      <c r="H245" s="47"/>
      <c r="J245" s="44"/>
      <c r="L245" s="44"/>
      <c r="M245" s="44"/>
      <c r="N245" s="44"/>
      <c r="O245" s="44"/>
      <c r="P245" s="44"/>
      <c r="Q245" s="44"/>
      <c r="R245" s="44"/>
    </row>
    <row r="246" spans="3:18" ht="13.5" customHeight="1" x14ac:dyDescent="0.2">
      <c r="C246" s="27"/>
      <c r="D246" s="96"/>
      <c r="E246" s="96"/>
      <c r="F246" s="96"/>
      <c r="G246" s="27"/>
      <c r="H246" s="47"/>
      <c r="J246" s="44"/>
      <c r="L246" s="44"/>
      <c r="M246" s="44"/>
      <c r="N246" s="44"/>
      <c r="O246" s="44"/>
      <c r="P246" s="44"/>
      <c r="Q246" s="44"/>
      <c r="R246" s="44"/>
    </row>
    <row r="247" spans="3:18" ht="13.5" customHeight="1" x14ac:dyDescent="0.2">
      <c r="C247" s="27"/>
      <c r="D247" s="96"/>
      <c r="E247" s="96"/>
      <c r="F247" s="96"/>
      <c r="G247" s="27"/>
      <c r="H247" s="47"/>
      <c r="J247" s="44"/>
      <c r="L247" s="44"/>
      <c r="M247" s="44"/>
      <c r="N247" s="44"/>
      <c r="O247" s="44"/>
      <c r="P247" s="44"/>
      <c r="Q247" s="44"/>
      <c r="R247" s="44"/>
    </row>
    <row r="248" spans="3:18" ht="13.5" customHeight="1" x14ac:dyDescent="0.2">
      <c r="C248" s="27"/>
      <c r="D248" s="96"/>
      <c r="E248" s="96"/>
      <c r="F248" s="96"/>
      <c r="G248" s="27"/>
      <c r="H248" s="47"/>
      <c r="J248" s="44"/>
      <c r="L248" s="44"/>
      <c r="M248" s="44"/>
      <c r="N248" s="44"/>
      <c r="O248" s="44"/>
      <c r="P248" s="44"/>
      <c r="Q248" s="44"/>
      <c r="R248" s="44"/>
    </row>
    <row r="249" spans="3:18" ht="13.5" customHeight="1" x14ac:dyDescent="0.2">
      <c r="C249" s="27"/>
      <c r="D249" s="96"/>
      <c r="E249" s="96"/>
      <c r="F249" s="96"/>
      <c r="G249" s="27"/>
      <c r="H249" s="47"/>
      <c r="I249" s="23" t="s">
        <v>56</v>
      </c>
      <c r="J249" s="23">
        <f>Startår</f>
        <v>2022</v>
      </c>
      <c r="K249" s="23">
        <f>J249+1</f>
        <v>2023</v>
      </c>
      <c r="L249" s="23">
        <f>K249+1</f>
        <v>2024</v>
      </c>
      <c r="M249" s="23">
        <f>L249+1</f>
        <v>2025</v>
      </c>
      <c r="N249" s="23">
        <f>M249+1</f>
        <v>2026</v>
      </c>
      <c r="O249" s="23">
        <f>N249+1</f>
        <v>2027</v>
      </c>
      <c r="P249" s="57" t="s">
        <v>10</v>
      </c>
      <c r="Q249" s="44"/>
      <c r="R249" s="44"/>
    </row>
    <row r="250" spans="3:18" ht="13.5" customHeight="1" thickBot="1" x14ac:dyDescent="0.25">
      <c r="C250" s="27"/>
      <c r="D250" s="96"/>
      <c r="E250" s="96"/>
      <c r="F250" s="96"/>
      <c r="G250" s="27"/>
      <c r="H250" s="47"/>
      <c r="I250" s="23" t="s">
        <v>15</v>
      </c>
      <c r="J250" s="52"/>
      <c r="K250" s="52"/>
      <c r="L250" s="52"/>
      <c r="M250" s="52"/>
      <c r="N250" s="52"/>
      <c r="O250" s="52"/>
      <c r="P250" s="58">
        <f>SUM(J250:O250)</f>
        <v>0</v>
      </c>
      <c r="Q250" s="44"/>
      <c r="R250" s="44"/>
    </row>
    <row r="251" spans="3:18" ht="13.5" customHeight="1" thickTop="1" thickBot="1" x14ac:dyDescent="0.25">
      <c r="C251" s="49"/>
      <c r="D251" s="96"/>
      <c r="E251" s="96"/>
      <c r="F251" s="96"/>
      <c r="G251" s="27"/>
      <c r="H251" s="47"/>
      <c r="I251" s="23" t="s">
        <v>55</v>
      </c>
      <c r="J251" s="52"/>
      <c r="K251" s="52"/>
      <c r="L251" s="52"/>
      <c r="M251" s="52"/>
      <c r="N251" s="52"/>
      <c r="O251" s="52"/>
      <c r="P251" s="59">
        <f>SUM(J251:O251)</f>
        <v>0</v>
      </c>
      <c r="Q251" s="44"/>
      <c r="R251" s="44"/>
    </row>
    <row r="252" spans="3:18" ht="13.5" customHeight="1" thickTop="1" thickBot="1" x14ac:dyDescent="0.25">
      <c r="C252" s="27"/>
      <c r="D252" s="96"/>
      <c r="E252" s="96"/>
      <c r="F252" s="96"/>
      <c r="G252" s="27"/>
      <c r="H252" s="47"/>
      <c r="I252" s="23" t="s">
        <v>3</v>
      </c>
      <c r="J252" s="52"/>
      <c r="K252" s="52"/>
      <c r="L252" s="52"/>
      <c r="M252" s="52"/>
      <c r="N252" s="52"/>
      <c r="O252" s="52"/>
      <c r="P252" s="60">
        <f>SUM(J252:O252)</f>
        <v>0</v>
      </c>
      <c r="Q252" s="44"/>
      <c r="R252" s="44"/>
    </row>
    <row r="253" spans="3:18" ht="13.5" customHeight="1" thickTop="1" x14ac:dyDescent="0.2">
      <c r="C253" s="50" t="s">
        <v>58</v>
      </c>
      <c r="D253" s="97"/>
      <c r="E253" s="97"/>
      <c r="F253" s="97"/>
      <c r="G253" s="29"/>
      <c r="H253" s="48"/>
      <c r="J253" s="44"/>
      <c r="L253" s="44"/>
      <c r="M253" s="44"/>
      <c r="N253" s="44"/>
      <c r="O253" s="44"/>
      <c r="P253" s="44"/>
      <c r="Q253" s="44"/>
      <c r="R253" s="44"/>
    </row>
    <row r="254" spans="3:18" ht="13.5" customHeight="1" x14ac:dyDescent="0.2">
      <c r="J254" s="44"/>
      <c r="L254" s="44"/>
      <c r="M254" s="44"/>
      <c r="N254" s="44"/>
      <c r="O254" s="44"/>
      <c r="P254" s="44"/>
      <c r="Q254" s="44"/>
      <c r="R254" s="44"/>
    </row>
    <row r="255" spans="3:18" ht="13.5" customHeight="1" x14ac:dyDescent="0.2">
      <c r="J255" s="44"/>
      <c r="L255" s="44"/>
      <c r="M255" s="44"/>
      <c r="N255" s="44"/>
      <c r="O255" s="44"/>
      <c r="P255" s="44"/>
      <c r="Q255" s="44"/>
      <c r="R255" s="44"/>
    </row>
    <row r="256" spans="3:18" ht="13.5" customHeight="1" x14ac:dyDescent="0.2">
      <c r="J256" s="44"/>
      <c r="L256" s="44"/>
      <c r="M256" s="44"/>
      <c r="N256" s="44"/>
      <c r="O256" s="44"/>
      <c r="P256" s="44"/>
      <c r="Q256" s="44"/>
      <c r="R256" s="44"/>
    </row>
    <row r="257" spans="1:18" ht="13.5" customHeight="1" x14ac:dyDescent="0.2">
      <c r="Q257" s="44"/>
      <c r="R257" s="44"/>
    </row>
    <row r="258" spans="1:18" ht="13.5" customHeight="1" x14ac:dyDescent="0.2">
      <c r="A258" s="23">
        <v>12</v>
      </c>
      <c r="B258" s="41"/>
      <c r="C258" s="123" t="s">
        <v>60</v>
      </c>
      <c r="D258" s="179"/>
      <c r="E258" s="180"/>
      <c r="F258" s="180"/>
      <c r="G258" s="181"/>
      <c r="H258" s="41"/>
      <c r="Q258" s="44"/>
      <c r="R258" s="44"/>
    </row>
    <row r="259" spans="1:18" ht="13.5" customHeight="1" x14ac:dyDescent="0.2">
      <c r="B259" s="41"/>
      <c r="C259" s="51" t="s">
        <v>7</v>
      </c>
      <c r="D259" s="96"/>
      <c r="H259" s="46"/>
      <c r="Q259" s="44"/>
      <c r="R259" s="44"/>
    </row>
    <row r="260" spans="1:18" ht="13.5" customHeight="1" x14ac:dyDescent="0.2">
      <c r="A260" s="41"/>
      <c r="B260" s="41"/>
      <c r="C260" s="23" t="s">
        <v>17</v>
      </c>
      <c r="D260" s="124"/>
      <c r="H260" s="41"/>
      <c r="Q260" s="44"/>
      <c r="R260" s="44"/>
    </row>
    <row r="261" spans="1:18" ht="13.5" customHeight="1" x14ac:dyDescent="0.2">
      <c r="Q261" s="44"/>
      <c r="R261" s="44"/>
    </row>
    <row r="262" spans="1:18" ht="13.5" customHeight="1" x14ac:dyDescent="0.2">
      <c r="C262" s="23" t="s">
        <v>57</v>
      </c>
      <c r="D262" s="23" t="s">
        <v>54</v>
      </c>
      <c r="E262" s="23" t="s">
        <v>2</v>
      </c>
      <c r="F262" s="23" t="s">
        <v>3</v>
      </c>
      <c r="G262" s="23" t="s">
        <v>42</v>
      </c>
      <c r="Q262" s="44"/>
      <c r="R262" s="44"/>
    </row>
    <row r="263" spans="1:18" ht="13.5" customHeight="1" x14ac:dyDescent="0.2">
      <c r="B263" s="26"/>
      <c r="C263" s="27"/>
      <c r="D263" s="96"/>
      <c r="E263" s="96"/>
      <c r="F263" s="96"/>
      <c r="G263" s="27"/>
      <c r="Q263" s="44"/>
      <c r="R263" s="44"/>
    </row>
    <row r="264" spans="1:18" ht="13.5" customHeight="1" x14ac:dyDescent="0.2">
      <c r="C264" s="27"/>
      <c r="D264" s="96"/>
      <c r="E264" s="96"/>
      <c r="F264" s="96"/>
      <c r="G264" s="27"/>
      <c r="H264" s="47"/>
      <c r="Q264" s="44"/>
      <c r="R264" s="44"/>
    </row>
    <row r="265" spans="1:18" ht="13.5" customHeight="1" x14ac:dyDescent="0.2">
      <c r="C265" s="27"/>
      <c r="D265" s="96"/>
      <c r="E265" s="96"/>
      <c r="F265" s="96"/>
      <c r="G265" s="27"/>
      <c r="H265" s="47"/>
      <c r="I265" s="53"/>
      <c r="J265" s="54"/>
      <c r="K265" s="54"/>
      <c r="L265" s="54"/>
      <c r="P265" s="34"/>
      <c r="Q265" s="44"/>
      <c r="R265" s="44"/>
    </row>
    <row r="266" spans="1:18" ht="13.5" customHeight="1" x14ac:dyDescent="0.2">
      <c r="C266" s="27"/>
      <c r="D266" s="96"/>
      <c r="E266" s="96"/>
      <c r="F266" s="96"/>
      <c r="G266" s="27"/>
      <c r="H266" s="47"/>
      <c r="J266" s="44"/>
      <c r="L266" s="44"/>
      <c r="M266" s="44"/>
      <c r="N266" s="44"/>
      <c r="O266" s="44"/>
      <c r="P266" s="44"/>
      <c r="Q266" s="44"/>
      <c r="R266" s="44"/>
    </row>
    <row r="267" spans="1:18" ht="13.5" customHeight="1" x14ac:dyDescent="0.2">
      <c r="C267" s="27"/>
      <c r="D267" s="96"/>
      <c r="E267" s="96"/>
      <c r="F267" s="96"/>
      <c r="G267" s="27"/>
      <c r="H267" s="47"/>
      <c r="J267" s="44"/>
      <c r="L267" s="44"/>
      <c r="M267" s="44"/>
      <c r="N267" s="44"/>
      <c r="O267" s="44"/>
      <c r="P267" s="44"/>
      <c r="Q267" s="44"/>
      <c r="R267" s="44"/>
    </row>
    <row r="268" spans="1:18" ht="13.5" customHeight="1" x14ac:dyDescent="0.2">
      <c r="C268" s="27"/>
      <c r="D268" s="96"/>
      <c r="E268" s="96"/>
      <c r="F268" s="96"/>
      <c r="G268" s="27"/>
      <c r="H268" s="47"/>
      <c r="J268" s="44"/>
      <c r="L268" s="44"/>
      <c r="M268" s="44"/>
      <c r="N268" s="44"/>
      <c r="O268" s="44"/>
      <c r="P268" s="44"/>
      <c r="Q268" s="44"/>
      <c r="R268" s="44"/>
    </row>
    <row r="269" spans="1:18" ht="13.5" customHeight="1" x14ac:dyDescent="0.2">
      <c r="C269" s="27"/>
      <c r="D269" s="96"/>
      <c r="E269" s="96"/>
      <c r="F269" s="96"/>
      <c r="G269" s="27"/>
      <c r="H269" s="47"/>
      <c r="J269" s="44"/>
      <c r="L269" s="44"/>
      <c r="M269" s="44"/>
      <c r="N269" s="44"/>
      <c r="O269" s="44"/>
      <c r="P269" s="44"/>
      <c r="Q269" s="44"/>
      <c r="R269" s="44"/>
    </row>
    <row r="270" spans="1:18" ht="13.5" customHeight="1" x14ac:dyDescent="0.2">
      <c r="C270" s="27"/>
      <c r="D270" s="96"/>
      <c r="E270" s="96"/>
      <c r="F270" s="96"/>
      <c r="G270" s="27"/>
      <c r="H270" s="47"/>
      <c r="J270" s="44"/>
      <c r="L270" s="44"/>
      <c r="M270" s="44"/>
      <c r="N270" s="44"/>
      <c r="O270" s="44"/>
      <c r="P270" s="44"/>
      <c r="Q270" s="44"/>
      <c r="R270" s="44"/>
    </row>
    <row r="271" spans="1:18" ht="13.5" customHeight="1" x14ac:dyDescent="0.2">
      <c r="C271" s="27"/>
      <c r="D271" s="96"/>
      <c r="E271" s="96"/>
      <c r="F271" s="96"/>
      <c r="G271" s="27"/>
      <c r="H271" s="47"/>
      <c r="J271" s="44"/>
      <c r="L271" s="44"/>
      <c r="M271" s="44"/>
      <c r="N271" s="44"/>
      <c r="O271" s="44"/>
      <c r="P271" s="44"/>
      <c r="Q271" s="44"/>
      <c r="R271" s="44"/>
    </row>
    <row r="272" spans="1:18" ht="13.5" customHeight="1" x14ac:dyDescent="0.2">
      <c r="C272" s="27"/>
      <c r="D272" s="96"/>
      <c r="E272" s="96"/>
      <c r="F272" s="96"/>
      <c r="G272" s="27"/>
      <c r="H272" s="47"/>
      <c r="I272" s="23" t="s">
        <v>56</v>
      </c>
      <c r="J272" s="23">
        <f>Startår</f>
        <v>2022</v>
      </c>
      <c r="K272" s="23">
        <f>J272+1</f>
        <v>2023</v>
      </c>
      <c r="L272" s="23">
        <f>K272+1</f>
        <v>2024</v>
      </c>
      <c r="M272" s="23">
        <f>L272+1</f>
        <v>2025</v>
      </c>
      <c r="N272" s="23">
        <f>M272+1</f>
        <v>2026</v>
      </c>
      <c r="O272" s="23">
        <f>N272+1</f>
        <v>2027</v>
      </c>
      <c r="P272" s="57" t="s">
        <v>10</v>
      </c>
      <c r="Q272" s="44"/>
      <c r="R272" s="44"/>
    </row>
    <row r="273" spans="1:18" ht="13.5" customHeight="1" thickBot="1" x14ac:dyDescent="0.25">
      <c r="C273" s="27"/>
      <c r="D273" s="96"/>
      <c r="E273" s="96"/>
      <c r="F273" s="96"/>
      <c r="G273" s="27"/>
      <c r="H273" s="47"/>
      <c r="I273" s="23" t="s">
        <v>15</v>
      </c>
      <c r="J273" s="52"/>
      <c r="K273" s="52"/>
      <c r="L273" s="52"/>
      <c r="M273" s="52"/>
      <c r="N273" s="52"/>
      <c r="O273" s="52"/>
      <c r="P273" s="58">
        <f>SUM(J273:O273)</f>
        <v>0</v>
      </c>
      <c r="Q273" s="44"/>
      <c r="R273" s="44"/>
    </row>
    <row r="274" spans="1:18" ht="13.5" customHeight="1" thickTop="1" thickBot="1" x14ac:dyDescent="0.25">
      <c r="C274" s="49"/>
      <c r="D274" s="96"/>
      <c r="E274" s="96"/>
      <c r="F274" s="96"/>
      <c r="G274" s="27"/>
      <c r="H274" s="47"/>
      <c r="I274" s="23" t="s">
        <v>55</v>
      </c>
      <c r="J274" s="52"/>
      <c r="K274" s="52"/>
      <c r="L274" s="52"/>
      <c r="M274" s="52"/>
      <c r="N274" s="52"/>
      <c r="O274" s="52"/>
      <c r="P274" s="59">
        <f>SUM(J274:O274)</f>
        <v>0</v>
      </c>
      <c r="Q274" s="44"/>
      <c r="R274" s="44"/>
    </row>
    <row r="275" spans="1:18" ht="13.5" customHeight="1" thickTop="1" thickBot="1" x14ac:dyDescent="0.25">
      <c r="C275" s="27"/>
      <c r="D275" s="96"/>
      <c r="E275" s="96"/>
      <c r="F275" s="96"/>
      <c r="G275" s="27"/>
      <c r="H275" s="47"/>
      <c r="I275" s="23" t="s">
        <v>3</v>
      </c>
      <c r="J275" s="52"/>
      <c r="K275" s="52"/>
      <c r="L275" s="52"/>
      <c r="M275" s="52"/>
      <c r="N275" s="52"/>
      <c r="O275" s="52"/>
      <c r="P275" s="60">
        <f>SUM(J275:O275)</f>
        <v>0</v>
      </c>
      <c r="Q275" s="44"/>
      <c r="R275" s="44"/>
    </row>
    <row r="276" spans="1:18" ht="13.5" customHeight="1" thickTop="1" x14ac:dyDescent="0.2">
      <c r="C276" s="50" t="s">
        <v>58</v>
      </c>
      <c r="D276" s="97"/>
      <c r="E276" s="97"/>
      <c r="F276" s="97"/>
      <c r="G276" s="29"/>
      <c r="H276" s="48"/>
      <c r="J276" s="44"/>
      <c r="L276" s="44"/>
      <c r="M276" s="44"/>
      <c r="N276" s="44"/>
      <c r="O276" s="44"/>
      <c r="P276" s="44"/>
      <c r="Q276" s="44"/>
      <c r="R276" s="44"/>
    </row>
    <row r="277" spans="1:18" ht="13.5" customHeight="1" x14ac:dyDescent="0.2">
      <c r="J277" s="44"/>
      <c r="L277" s="44"/>
      <c r="M277" s="44"/>
      <c r="N277" s="44"/>
      <c r="O277" s="44"/>
      <c r="P277" s="44"/>
      <c r="Q277" s="44"/>
      <c r="R277" s="44"/>
    </row>
    <row r="278" spans="1:18" ht="13.5" customHeight="1" x14ac:dyDescent="0.2">
      <c r="J278" s="44"/>
      <c r="L278" s="44"/>
      <c r="M278" s="44"/>
      <c r="N278" s="44"/>
      <c r="O278" s="44"/>
      <c r="P278" s="44"/>
      <c r="Q278" s="44"/>
      <c r="R278" s="44"/>
    </row>
    <row r="279" spans="1:18" ht="13.5" customHeight="1" x14ac:dyDescent="0.2">
      <c r="J279" s="44"/>
      <c r="L279" s="44"/>
      <c r="M279" s="44"/>
      <c r="N279" s="44"/>
      <c r="O279" s="44"/>
      <c r="P279" s="44"/>
      <c r="Q279" s="44"/>
      <c r="R279" s="44"/>
    </row>
    <row r="280" spans="1:18" ht="13.5" customHeight="1" x14ac:dyDescent="0.2">
      <c r="Q280" s="44"/>
      <c r="R280" s="44"/>
    </row>
    <row r="281" spans="1:18" ht="13.5" customHeight="1" x14ac:dyDescent="0.2">
      <c r="A281" s="23">
        <v>13</v>
      </c>
      <c r="B281" s="41"/>
      <c r="C281" s="123" t="s">
        <v>60</v>
      </c>
      <c r="D281" s="179"/>
      <c r="E281" s="180"/>
      <c r="F281" s="180"/>
      <c r="G281" s="181"/>
      <c r="H281" s="41"/>
      <c r="Q281" s="44"/>
      <c r="R281" s="44"/>
    </row>
    <row r="282" spans="1:18" ht="13.5" customHeight="1" x14ac:dyDescent="0.2">
      <c r="B282" s="41"/>
      <c r="C282" s="51" t="s">
        <v>7</v>
      </c>
      <c r="D282" s="96"/>
      <c r="H282" s="46"/>
      <c r="Q282" s="44"/>
      <c r="R282" s="44"/>
    </row>
    <row r="283" spans="1:18" ht="13.5" customHeight="1" x14ac:dyDescent="0.2">
      <c r="A283" s="41"/>
      <c r="B283" s="41"/>
      <c r="C283" s="23" t="s">
        <v>17</v>
      </c>
      <c r="D283" s="124"/>
      <c r="H283" s="41"/>
      <c r="Q283" s="44"/>
      <c r="R283" s="44"/>
    </row>
    <row r="284" spans="1:18" ht="13.5" customHeight="1" x14ac:dyDescent="0.2">
      <c r="Q284" s="44"/>
      <c r="R284" s="44"/>
    </row>
    <row r="285" spans="1:18" ht="13.5" customHeight="1" x14ac:dyDescent="0.2">
      <c r="C285" s="23" t="s">
        <v>57</v>
      </c>
      <c r="D285" s="23" t="s">
        <v>54</v>
      </c>
      <c r="E285" s="23" t="s">
        <v>2</v>
      </c>
      <c r="F285" s="23" t="s">
        <v>3</v>
      </c>
      <c r="G285" s="23" t="s">
        <v>42</v>
      </c>
      <c r="Q285" s="44"/>
      <c r="R285" s="44"/>
    </row>
    <row r="286" spans="1:18" ht="13.5" customHeight="1" x14ac:dyDescent="0.2">
      <c r="B286" s="26"/>
      <c r="C286" s="27"/>
      <c r="D286" s="96"/>
      <c r="E286" s="96"/>
      <c r="F286" s="96"/>
      <c r="G286" s="27"/>
      <c r="Q286" s="44"/>
      <c r="R286" s="44"/>
    </row>
    <row r="287" spans="1:18" ht="13.5" customHeight="1" x14ac:dyDescent="0.2">
      <c r="C287" s="27"/>
      <c r="D287" s="96"/>
      <c r="E287" s="96"/>
      <c r="F287" s="96"/>
      <c r="G287" s="27"/>
      <c r="H287" s="47"/>
      <c r="Q287" s="44"/>
      <c r="R287" s="44"/>
    </row>
    <row r="288" spans="1:18" ht="13.5" customHeight="1" x14ac:dyDescent="0.2">
      <c r="C288" s="27"/>
      <c r="D288" s="96"/>
      <c r="E288" s="96"/>
      <c r="F288" s="96"/>
      <c r="G288" s="27"/>
      <c r="H288" s="47"/>
      <c r="I288" s="53"/>
      <c r="J288" s="54"/>
      <c r="K288" s="54"/>
      <c r="L288" s="54"/>
      <c r="P288" s="34"/>
      <c r="Q288" s="44"/>
      <c r="R288" s="44"/>
    </row>
    <row r="289" spans="1:18" ht="13.5" customHeight="1" x14ac:dyDescent="0.2">
      <c r="C289" s="27"/>
      <c r="D289" s="96"/>
      <c r="E289" s="96"/>
      <c r="F289" s="96"/>
      <c r="G289" s="27"/>
      <c r="H289" s="47"/>
      <c r="J289" s="44"/>
      <c r="L289" s="44"/>
      <c r="M289" s="44"/>
      <c r="N289" s="44"/>
      <c r="O289" s="44"/>
      <c r="P289" s="44"/>
      <c r="Q289" s="44"/>
      <c r="R289" s="44"/>
    </row>
    <row r="290" spans="1:18" ht="13.5" customHeight="1" x14ac:dyDescent="0.2">
      <c r="C290" s="27"/>
      <c r="D290" s="96"/>
      <c r="E290" s="96"/>
      <c r="F290" s="96"/>
      <c r="G290" s="27"/>
      <c r="H290" s="47"/>
      <c r="J290" s="44"/>
      <c r="L290" s="44"/>
      <c r="M290" s="44"/>
      <c r="N290" s="44"/>
      <c r="O290" s="44"/>
      <c r="P290" s="44"/>
      <c r="Q290" s="44"/>
      <c r="R290" s="44"/>
    </row>
    <row r="291" spans="1:18" ht="13.5" customHeight="1" x14ac:dyDescent="0.2">
      <c r="C291" s="27"/>
      <c r="D291" s="96"/>
      <c r="E291" s="96"/>
      <c r="F291" s="96"/>
      <c r="G291" s="27"/>
      <c r="H291" s="47"/>
      <c r="J291" s="44"/>
      <c r="L291" s="44"/>
      <c r="M291" s="44"/>
      <c r="N291" s="44"/>
      <c r="O291" s="44"/>
      <c r="P291" s="44"/>
      <c r="Q291" s="44"/>
      <c r="R291" s="44"/>
    </row>
    <row r="292" spans="1:18" ht="13.5" customHeight="1" x14ac:dyDescent="0.2">
      <c r="C292" s="27"/>
      <c r="D292" s="96"/>
      <c r="E292" s="96"/>
      <c r="F292" s="96"/>
      <c r="G292" s="27"/>
      <c r="H292" s="47"/>
      <c r="J292" s="44"/>
      <c r="L292" s="44"/>
      <c r="M292" s="44"/>
      <c r="N292" s="44"/>
      <c r="O292" s="44"/>
      <c r="P292" s="44"/>
      <c r="Q292" s="44"/>
      <c r="R292" s="44"/>
    </row>
    <row r="293" spans="1:18" ht="13.5" customHeight="1" x14ac:dyDescent="0.2">
      <c r="C293" s="27"/>
      <c r="D293" s="96"/>
      <c r="E293" s="96"/>
      <c r="F293" s="96"/>
      <c r="G293" s="27"/>
      <c r="H293" s="47"/>
      <c r="J293" s="44"/>
      <c r="L293" s="44"/>
      <c r="M293" s="44"/>
      <c r="N293" s="44"/>
      <c r="O293" s="44"/>
      <c r="P293" s="44"/>
      <c r="Q293" s="44"/>
      <c r="R293" s="44"/>
    </row>
    <row r="294" spans="1:18" ht="13.5" customHeight="1" x14ac:dyDescent="0.2">
      <c r="C294" s="27"/>
      <c r="D294" s="96"/>
      <c r="E294" s="96"/>
      <c r="F294" s="96"/>
      <c r="G294" s="27"/>
      <c r="H294" s="47"/>
      <c r="J294" s="44"/>
      <c r="L294" s="44"/>
      <c r="M294" s="44"/>
      <c r="N294" s="44"/>
      <c r="O294" s="44"/>
      <c r="P294" s="44"/>
      <c r="Q294" s="44"/>
      <c r="R294" s="44"/>
    </row>
    <row r="295" spans="1:18" ht="13.5" customHeight="1" x14ac:dyDescent="0.2">
      <c r="C295" s="27"/>
      <c r="D295" s="96"/>
      <c r="E295" s="96"/>
      <c r="F295" s="96"/>
      <c r="G295" s="27"/>
      <c r="H295" s="47"/>
      <c r="I295" s="23" t="s">
        <v>56</v>
      </c>
      <c r="J295" s="23">
        <f>Startår</f>
        <v>2022</v>
      </c>
      <c r="K295" s="23">
        <f>J295+1</f>
        <v>2023</v>
      </c>
      <c r="L295" s="23">
        <f>K295+1</f>
        <v>2024</v>
      </c>
      <c r="M295" s="23">
        <f>L295+1</f>
        <v>2025</v>
      </c>
      <c r="N295" s="23">
        <f>M295+1</f>
        <v>2026</v>
      </c>
      <c r="O295" s="23">
        <f>N295+1</f>
        <v>2027</v>
      </c>
      <c r="P295" s="57" t="s">
        <v>10</v>
      </c>
      <c r="Q295" s="44"/>
      <c r="R295" s="44"/>
    </row>
    <row r="296" spans="1:18" ht="13.5" customHeight="1" thickBot="1" x14ac:dyDescent="0.25">
      <c r="C296" s="27"/>
      <c r="D296" s="96"/>
      <c r="E296" s="96"/>
      <c r="F296" s="96"/>
      <c r="G296" s="27"/>
      <c r="H296" s="47"/>
      <c r="I296" s="23" t="s">
        <v>15</v>
      </c>
      <c r="J296" s="52"/>
      <c r="K296" s="52"/>
      <c r="L296" s="52"/>
      <c r="M296" s="52"/>
      <c r="N296" s="52"/>
      <c r="O296" s="52"/>
      <c r="P296" s="58">
        <f>SUM(J296:O296)</f>
        <v>0</v>
      </c>
      <c r="Q296" s="44"/>
      <c r="R296" s="44"/>
    </row>
    <row r="297" spans="1:18" ht="13.5" customHeight="1" thickTop="1" thickBot="1" x14ac:dyDescent="0.25">
      <c r="C297" s="49"/>
      <c r="D297" s="96"/>
      <c r="E297" s="96"/>
      <c r="F297" s="96"/>
      <c r="G297" s="27"/>
      <c r="H297" s="47"/>
      <c r="I297" s="23" t="s">
        <v>55</v>
      </c>
      <c r="J297" s="52"/>
      <c r="K297" s="52"/>
      <c r="L297" s="52"/>
      <c r="M297" s="52"/>
      <c r="N297" s="52"/>
      <c r="O297" s="52"/>
      <c r="P297" s="59">
        <f>SUM(J297:O297)</f>
        <v>0</v>
      </c>
      <c r="Q297" s="44"/>
      <c r="R297" s="44"/>
    </row>
    <row r="298" spans="1:18" ht="13.5" customHeight="1" thickTop="1" thickBot="1" x14ac:dyDescent="0.25">
      <c r="C298" s="27"/>
      <c r="D298" s="96"/>
      <c r="E298" s="96"/>
      <c r="F298" s="96"/>
      <c r="G298" s="27"/>
      <c r="H298" s="47"/>
      <c r="I298" s="23" t="s">
        <v>3</v>
      </c>
      <c r="J298" s="52"/>
      <c r="K298" s="52"/>
      <c r="L298" s="52"/>
      <c r="M298" s="52"/>
      <c r="N298" s="52"/>
      <c r="O298" s="52"/>
      <c r="P298" s="60">
        <f>SUM(J298:O298)</f>
        <v>0</v>
      </c>
      <c r="Q298" s="44"/>
      <c r="R298" s="44"/>
    </row>
    <row r="299" spans="1:18" ht="13.5" customHeight="1" thickTop="1" x14ac:dyDescent="0.2">
      <c r="C299" s="50" t="s">
        <v>58</v>
      </c>
      <c r="D299" s="97"/>
      <c r="E299" s="97"/>
      <c r="F299" s="97"/>
      <c r="G299" s="29"/>
      <c r="H299" s="48"/>
      <c r="J299" s="44"/>
      <c r="L299" s="44"/>
      <c r="M299" s="44"/>
      <c r="N299" s="44"/>
      <c r="O299" s="44"/>
      <c r="P299" s="44"/>
      <c r="Q299" s="44"/>
      <c r="R299" s="44"/>
    </row>
    <row r="300" spans="1:18" ht="13.5" customHeight="1" x14ac:dyDescent="0.2">
      <c r="J300" s="44"/>
      <c r="L300" s="44"/>
      <c r="M300" s="44"/>
      <c r="N300" s="44"/>
      <c r="O300" s="44"/>
      <c r="P300" s="44"/>
      <c r="Q300" s="44"/>
      <c r="R300" s="44"/>
    </row>
    <row r="301" spans="1:18" ht="13.5" customHeight="1" x14ac:dyDescent="0.2">
      <c r="J301" s="44"/>
      <c r="L301" s="44"/>
      <c r="M301" s="44"/>
      <c r="N301" s="44"/>
      <c r="O301" s="44"/>
      <c r="P301" s="44"/>
      <c r="Q301" s="44"/>
      <c r="R301" s="44"/>
    </row>
    <row r="302" spans="1:18" ht="13.5" customHeight="1" x14ac:dyDescent="0.2">
      <c r="J302" s="44"/>
      <c r="L302" s="44"/>
      <c r="M302" s="44"/>
      <c r="N302" s="44"/>
      <c r="O302" s="44"/>
      <c r="P302" s="44"/>
      <c r="Q302" s="44"/>
      <c r="R302" s="44"/>
    </row>
    <row r="303" spans="1:18" ht="13.5" customHeight="1" x14ac:dyDescent="0.2">
      <c r="Q303" s="44"/>
      <c r="R303" s="44"/>
    </row>
    <row r="304" spans="1:18" ht="13.5" customHeight="1" x14ac:dyDescent="0.2">
      <c r="A304" s="23">
        <v>14</v>
      </c>
      <c r="B304" s="41"/>
      <c r="C304" s="123" t="s">
        <v>60</v>
      </c>
      <c r="D304" s="179"/>
      <c r="E304" s="180"/>
      <c r="F304" s="180"/>
      <c r="G304" s="181"/>
      <c r="H304" s="41"/>
      <c r="Q304" s="44"/>
      <c r="R304" s="44"/>
    </row>
    <row r="305" spans="1:18" ht="13.5" customHeight="1" x14ac:dyDescent="0.2">
      <c r="B305" s="41"/>
      <c r="C305" s="51" t="s">
        <v>7</v>
      </c>
      <c r="D305" s="96"/>
      <c r="H305" s="46"/>
      <c r="Q305" s="44"/>
      <c r="R305" s="44"/>
    </row>
    <row r="306" spans="1:18" ht="13.5" customHeight="1" x14ac:dyDescent="0.2">
      <c r="A306" s="41"/>
      <c r="B306" s="41"/>
      <c r="C306" s="23" t="s">
        <v>17</v>
      </c>
      <c r="D306" s="124"/>
      <c r="H306" s="41"/>
      <c r="Q306" s="44"/>
      <c r="R306" s="44"/>
    </row>
    <row r="307" spans="1:18" ht="13.5" customHeight="1" x14ac:dyDescent="0.2">
      <c r="Q307" s="44"/>
      <c r="R307" s="44"/>
    </row>
    <row r="308" spans="1:18" ht="13.5" customHeight="1" x14ac:dyDescent="0.2">
      <c r="C308" s="23" t="s">
        <v>57</v>
      </c>
      <c r="D308" s="23" t="s">
        <v>54</v>
      </c>
      <c r="E308" s="23" t="s">
        <v>2</v>
      </c>
      <c r="F308" s="23" t="s">
        <v>3</v>
      </c>
      <c r="G308" s="23" t="s">
        <v>42</v>
      </c>
      <c r="Q308" s="44"/>
      <c r="R308" s="44"/>
    </row>
    <row r="309" spans="1:18" ht="13.5" customHeight="1" x14ac:dyDescent="0.2">
      <c r="B309" s="26"/>
      <c r="C309" s="27"/>
      <c r="D309" s="96"/>
      <c r="E309" s="96"/>
      <c r="F309" s="96"/>
      <c r="G309" s="27"/>
      <c r="Q309" s="44"/>
      <c r="R309" s="44"/>
    </row>
    <row r="310" spans="1:18" ht="13.5" customHeight="1" x14ac:dyDescent="0.2">
      <c r="C310" s="27"/>
      <c r="D310" s="96"/>
      <c r="E310" s="96"/>
      <c r="F310" s="96"/>
      <c r="G310" s="27"/>
      <c r="H310" s="47"/>
      <c r="Q310" s="44"/>
      <c r="R310" s="44"/>
    </row>
    <row r="311" spans="1:18" ht="13.5" customHeight="1" x14ac:dyDescent="0.2">
      <c r="C311" s="27"/>
      <c r="D311" s="96"/>
      <c r="E311" s="96"/>
      <c r="F311" s="96"/>
      <c r="G311" s="27"/>
      <c r="H311" s="47"/>
      <c r="I311" s="53"/>
      <c r="J311" s="54"/>
      <c r="K311" s="54"/>
      <c r="L311" s="54"/>
      <c r="P311" s="34"/>
      <c r="Q311" s="44"/>
      <c r="R311" s="44"/>
    </row>
    <row r="312" spans="1:18" ht="13.5" customHeight="1" x14ac:dyDescent="0.2">
      <c r="C312" s="27"/>
      <c r="D312" s="96"/>
      <c r="E312" s="96"/>
      <c r="F312" s="96"/>
      <c r="G312" s="27"/>
      <c r="H312" s="47"/>
      <c r="J312" s="44"/>
      <c r="L312" s="44"/>
      <c r="M312" s="44"/>
      <c r="N312" s="44"/>
      <c r="O312" s="44"/>
      <c r="P312" s="44"/>
      <c r="Q312" s="44"/>
      <c r="R312" s="44"/>
    </row>
    <row r="313" spans="1:18" ht="13.5" customHeight="1" x14ac:dyDescent="0.2">
      <c r="C313" s="27"/>
      <c r="D313" s="96"/>
      <c r="E313" s="96"/>
      <c r="F313" s="96"/>
      <c r="G313" s="27"/>
      <c r="H313" s="47"/>
      <c r="J313" s="44"/>
      <c r="L313" s="44"/>
      <c r="M313" s="44"/>
      <c r="N313" s="44"/>
      <c r="O313" s="44"/>
      <c r="P313" s="44"/>
      <c r="Q313" s="44"/>
      <c r="R313" s="44"/>
    </row>
    <row r="314" spans="1:18" ht="13.5" customHeight="1" x14ac:dyDescent="0.2">
      <c r="C314" s="27"/>
      <c r="D314" s="96"/>
      <c r="E314" s="96"/>
      <c r="F314" s="96"/>
      <c r="G314" s="27"/>
      <c r="H314" s="47"/>
      <c r="J314" s="44"/>
      <c r="L314" s="44"/>
      <c r="M314" s="44"/>
      <c r="N314" s="44"/>
      <c r="O314" s="44"/>
      <c r="P314" s="44"/>
      <c r="Q314" s="44"/>
      <c r="R314" s="44"/>
    </row>
    <row r="315" spans="1:18" ht="13.5" customHeight="1" x14ac:dyDescent="0.2">
      <c r="C315" s="27"/>
      <c r="D315" s="96"/>
      <c r="E315" s="96"/>
      <c r="F315" s="96"/>
      <c r="G315" s="27"/>
      <c r="H315" s="47"/>
      <c r="J315" s="44"/>
      <c r="L315" s="44"/>
      <c r="M315" s="44"/>
      <c r="N315" s="44"/>
      <c r="O315" s="44"/>
      <c r="P315" s="44"/>
      <c r="Q315" s="44"/>
      <c r="R315" s="44"/>
    </row>
    <row r="316" spans="1:18" ht="13.5" customHeight="1" x14ac:dyDescent="0.2">
      <c r="C316" s="27"/>
      <c r="D316" s="96"/>
      <c r="E316" s="96"/>
      <c r="F316" s="96"/>
      <c r="G316" s="27"/>
      <c r="H316" s="47"/>
      <c r="J316" s="44"/>
      <c r="L316" s="44"/>
      <c r="M316" s="44"/>
      <c r="N316" s="44"/>
      <c r="O316" s="44"/>
      <c r="P316" s="44"/>
      <c r="Q316" s="44"/>
      <c r="R316" s="44"/>
    </row>
    <row r="317" spans="1:18" ht="13.5" customHeight="1" x14ac:dyDescent="0.2">
      <c r="C317" s="27"/>
      <c r="D317" s="96"/>
      <c r="E317" s="96"/>
      <c r="F317" s="96"/>
      <c r="G317" s="27"/>
      <c r="H317" s="47"/>
      <c r="J317" s="44"/>
      <c r="L317" s="44"/>
      <c r="M317" s="44"/>
      <c r="N317" s="44"/>
      <c r="O317" s="44"/>
      <c r="P317" s="44"/>
      <c r="Q317" s="44"/>
      <c r="R317" s="44"/>
    </row>
    <row r="318" spans="1:18" ht="13.5" customHeight="1" x14ac:dyDescent="0.2">
      <c r="C318" s="27"/>
      <c r="D318" s="96"/>
      <c r="E318" s="96"/>
      <c r="F318" s="96"/>
      <c r="G318" s="27"/>
      <c r="H318" s="47"/>
      <c r="I318" s="23" t="s">
        <v>56</v>
      </c>
      <c r="J318" s="23">
        <f>Startår</f>
        <v>2022</v>
      </c>
      <c r="K318" s="23">
        <f>J318+1</f>
        <v>2023</v>
      </c>
      <c r="L318" s="23">
        <f>K318+1</f>
        <v>2024</v>
      </c>
      <c r="M318" s="23">
        <f>L318+1</f>
        <v>2025</v>
      </c>
      <c r="N318" s="23">
        <f>M318+1</f>
        <v>2026</v>
      </c>
      <c r="O318" s="23">
        <f>N318+1</f>
        <v>2027</v>
      </c>
      <c r="P318" s="57" t="s">
        <v>10</v>
      </c>
      <c r="Q318" s="44"/>
      <c r="R318" s="44"/>
    </row>
    <row r="319" spans="1:18" ht="13.5" customHeight="1" thickBot="1" x14ac:dyDescent="0.25">
      <c r="C319" s="27"/>
      <c r="D319" s="96"/>
      <c r="E319" s="96"/>
      <c r="F319" s="96"/>
      <c r="G319" s="27"/>
      <c r="H319" s="47"/>
      <c r="I319" s="23" t="s">
        <v>15</v>
      </c>
      <c r="J319" s="52"/>
      <c r="K319" s="52"/>
      <c r="L319" s="52"/>
      <c r="M319" s="52"/>
      <c r="N319" s="52"/>
      <c r="O319" s="52"/>
      <c r="P319" s="58">
        <f>SUM(J319:O319)</f>
        <v>0</v>
      </c>
      <c r="Q319" s="44"/>
      <c r="R319" s="44"/>
    </row>
    <row r="320" spans="1:18" ht="13.5" customHeight="1" thickTop="1" thickBot="1" x14ac:dyDescent="0.25">
      <c r="C320" s="49"/>
      <c r="D320" s="96"/>
      <c r="E320" s="96"/>
      <c r="F320" s="96"/>
      <c r="G320" s="27"/>
      <c r="H320" s="47"/>
      <c r="I320" s="23" t="s">
        <v>55</v>
      </c>
      <c r="J320" s="52"/>
      <c r="K320" s="52"/>
      <c r="L320" s="52"/>
      <c r="M320" s="52"/>
      <c r="N320" s="52"/>
      <c r="O320" s="52"/>
      <c r="P320" s="59">
        <f>SUM(J320:O320)</f>
        <v>0</v>
      </c>
      <c r="Q320" s="44"/>
      <c r="R320" s="44"/>
    </row>
    <row r="321" spans="1:18" ht="13.5" customHeight="1" thickTop="1" thickBot="1" x14ac:dyDescent="0.25">
      <c r="C321" s="27"/>
      <c r="D321" s="96"/>
      <c r="E321" s="96"/>
      <c r="F321" s="96"/>
      <c r="G321" s="27"/>
      <c r="H321" s="47"/>
      <c r="I321" s="23" t="s">
        <v>3</v>
      </c>
      <c r="J321" s="52"/>
      <c r="K321" s="52"/>
      <c r="L321" s="52"/>
      <c r="M321" s="52"/>
      <c r="N321" s="52"/>
      <c r="O321" s="52"/>
      <c r="P321" s="60">
        <f>SUM(J321:O321)</f>
        <v>0</v>
      </c>
      <c r="Q321" s="44"/>
      <c r="R321" s="44"/>
    </row>
    <row r="322" spans="1:18" ht="13.5" customHeight="1" thickTop="1" x14ac:dyDescent="0.2">
      <c r="C322" s="50" t="s">
        <v>58</v>
      </c>
      <c r="D322" s="97"/>
      <c r="E322" s="97"/>
      <c r="F322" s="97"/>
      <c r="G322" s="29"/>
      <c r="H322" s="48"/>
      <c r="J322" s="44"/>
      <c r="L322" s="44"/>
      <c r="M322" s="44"/>
      <c r="N322" s="44"/>
      <c r="O322" s="44"/>
      <c r="P322" s="44"/>
      <c r="Q322" s="44"/>
      <c r="R322" s="44"/>
    </row>
    <row r="323" spans="1:18" ht="13.5" customHeight="1" x14ac:dyDescent="0.2">
      <c r="J323" s="44"/>
      <c r="L323" s="44"/>
      <c r="M323" s="44"/>
      <c r="N323" s="44"/>
      <c r="O323" s="44"/>
      <c r="P323" s="44"/>
      <c r="Q323" s="44"/>
      <c r="R323" s="44"/>
    </row>
    <row r="324" spans="1:18" ht="13.5" customHeight="1" x14ac:dyDescent="0.2">
      <c r="J324" s="44"/>
      <c r="L324" s="44"/>
      <c r="M324" s="44"/>
      <c r="N324" s="44"/>
      <c r="O324" s="44"/>
      <c r="P324" s="44"/>
      <c r="Q324" s="44"/>
      <c r="R324" s="44"/>
    </row>
    <row r="325" spans="1:18" ht="13.5" customHeight="1" x14ac:dyDescent="0.2">
      <c r="J325" s="44"/>
      <c r="L325" s="44"/>
      <c r="M325" s="44"/>
      <c r="N325" s="44"/>
      <c r="O325" s="44"/>
      <c r="P325" s="44"/>
      <c r="Q325" s="44"/>
      <c r="R325" s="44"/>
    </row>
    <row r="326" spans="1:18" ht="13.5" customHeight="1" x14ac:dyDescent="0.2">
      <c r="Q326" s="44"/>
      <c r="R326" s="44"/>
    </row>
    <row r="327" spans="1:18" ht="13.5" customHeight="1" x14ac:dyDescent="0.2">
      <c r="A327" s="23">
        <v>15</v>
      </c>
      <c r="B327" s="41"/>
      <c r="C327" s="123" t="s">
        <v>60</v>
      </c>
      <c r="D327" s="179"/>
      <c r="E327" s="180"/>
      <c r="F327" s="180"/>
      <c r="G327" s="181"/>
      <c r="H327" s="41"/>
      <c r="Q327" s="44"/>
      <c r="R327" s="44"/>
    </row>
    <row r="328" spans="1:18" ht="13.5" customHeight="1" x14ac:dyDescent="0.2">
      <c r="B328" s="41"/>
      <c r="C328" s="51" t="s">
        <v>7</v>
      </c>
      <c r="D328" s="96"/>
      <c r="H328" s="46"/>
      <c r="Q328" s="44"/>
      <c r="R328" s="44"/>
    </row>
    <row r="329" spans="1:18" ht="13.5" customHeight="1" x14ac:dyDescent="0.2">
      <c r="A329" s="41"/>
      <c r="B329" s="41"/>
      <c r="C329" s="23" t="s">
        <v>17</v>
      </c>
      <c r="D329" s="124"/>
      <c r="H329" s="41"/>
      <c r="Q329" s="44"/>
      <c r="R329" s="44"/>
    </row>
    <row r="330" spans="1:18" ht="13.5" customHeight="1" x14ac:dyDescent="0.2">
      <c r="Q330" s="44"/>
      <c r="R330" s="44"/>
    </row>
    <row r="331" spans="1:18" ht="13.5" customHeight="1" x14ac:dyDescent="0.2">
      <c r="C331" s="23" t="s">
        <v>57</v>
      </c>
      <c r="D331" s="23" t="s">
        <v>54</v>
      </c>
      <c r="E331" s="23" t="s">
        <v>2</v>
      </c>
      <c r="F331" s="23" t="s">
        <v>3</v>
      </c>
      <c r="G331" s="23" t="s">
        <v>42</v>
      </c>
      <c r="Q331" s="44"/>
      <c r="R331" s="44"/>
    </row>
    <row r="332" spans="1:18" ht="13.5" customHeight="1" x14ac:dyDescent="0.2">
      <c r="B332" s="26"/>
      <c r="C332" s="27"/>
      <c r="D332" s="96"/>
      <c r="E332" s="96"/>
      <c r="F332" s="96"/>
      <c r="G332" s="27"/>
      <c r="Q332" s="44"/>
      <c r="R332" s="44"/>
    </row>
    <row r="333" spans="1:18" ht="13.5" customHeight="1" x14ac:dyDescent="0.2">
      <c r="C333" s="27"/>
      <c r="D333" s="96"/>
      <c r="E333" s="96"/>
      <c r="F333" s="96"/>
      <c r="G333" s="27"/>
      <c r="H333" s="47"/>
    </row>
    <row r="334" spans="1:18" ht="13.5" customHeight="1" x14ac:dyDescent="0.2">
      <c r="C334" s="27"/>
      <c r="D334" s="96"/>
      <c r="E334" s="96"/>
      <c r="F334" s="96"/>
      <c r="G334" s="27"/>
      <c r="H334" s="47"/>
      <c r="I334" s="53"/>
      <c r="J334" s="54"/>
      <c r="K334" s="54"/>
      <c r="L334" s="54"/>
      <c r="P334" s="34"/>
    </row>
    <row r="335" spans="1:18" ht="13.5" customHeight="1" x14ac:dyDescent="0.2">
      <c r="C335" s="27"/>
      <c r="D335" s="96"/>
      <c r="E335" s="96"/>
      <c r="F335" s="96"/>
      <c r="G335" s="27"/>
      <c r="H335" s="47"/>
      <c r="J335" s="44"/>
      <c r="L335" s="44"/>
      <c r="M335" s="44"/>
      <c r="N335" s="44"/>
      <c r="O335" s="44"/>
      <c r="P335" s="44"/>
    </row>
    <row r="336" spans="1:18" ht="13.5" customHeight="1" x14ac:dyDescent="0.2">
      <c r="C336" s="27"/>
      <c r="D336" s="96"/>
      <c r="E336" s="96"/>
      <c r="F336" s="96"/>
      <c r="G336" s="27"/>
      <c r="H336" s="47"/>
      <c r="J336" s="44"/>
      <c r="L336" s="44"/>
      <c r="M336" s="44"/>
      <c r="N336" s="44"/>
      <c r="O336" s="44"/>
      <c r="P336" s="44"/>
    </row>
    <row r="337" spans="3:16" ht="13.5" customHeight="1" x14ac:dyDescent="0.2">
      <c r="C337" s="27"/>
      <c r="D337" s="96"/>
      <c r="E337" s="96"/>
      <c r="F337" s="96"/>
      <c r="G337" s="27"/>
      <c r="H337" s="47"/>
      <c r="J337" s="44"/>
      <c r="L337" s="44"/>
      <c r="M337" s="44"/>
      <c r="N337" s="44"/>
      <c r="O337" s="44"/>
      <c r="P337" s="44"/>
    </row>
    <row r="338" spans="3:16" ht="13.5" customHeight="1" x14ac:dyDescent="0.2">
      <c r="C338" s="27"/>
      <c r="D338" s="96"/>
      <c r="E338" s="96"/>
      <c r="F338" s="96"/>
      <c r="G338" s="27"/>
      <c r="H338" s="47"/>
      <c r="J338" s="44"/>
      <c r="L338" s="44"/>
      <c r="M338" s="44"/>
      <c r="N338" s="44"/>
      <c r="O338" s="44"/>
      <c r="P338" s="44"/>
    </row>
    <row r="339" spans="3:16" ht="13.5" customHeight="1" x14ac:dyDescent="0.2">
      <c r="C339" s="27"/>
      <c r="D339" s="96"/>
      <c r="E339" s="96"/>
      <c r="F339" s="96"/>
      <c r="G339" s="27"/>
      <c r="H339" s="47"/>
      <c r="J339" s="44"/>
      <c r="L339" s="44"/>
      <c r="M339" s="44"/>
      <c r="N339" s="44"/>
      <c r="O339" s="44"/>
      <c r="P339" s="44"/>
    </row>
    <row r="340" spans="3:16" ht="13.5" customHeight="1" x14ac:dyDescent="0.2">
      <c r="C340" s="27"/>
      <c r="D340" s="96"/>
      <c r="E340" s="96"/>
      <c r="F340" s="96"/>
      <c r="G340" s="27"/>
      <c r="H340" s="47"/>
      <c r="J340" s="44"/>
      <c r="L340" s="44"/>
      <c r="M340" s="44"/>
      <c r="N340" s="44"/>
      <c r="O340" s="44"/>
      <c r="P340" s="44"/>
    </row>
    <row r="341" spans="3:16" ht="13.5" customHeight="1" x14ac:dyDescent="0.2">
      <c r="C341" s="27"/>
      <c r="D341" s="96"/>
      <c r="E341" s="96"/>
      <c r="F341" s="96"/>
      <c r="G341" s="27"/>
      <c r="H341" s="47"/>
      <c r="I341" s="23" t="s">
        <v>56</v>
      </c>
      <c r="J341" s="23">
        <f>Startår</f>
        <v>2022</v>
      </c>
      <c r="K341" s="23">
        <f>J341+1</f>
        <v>2023</v>
      </c>
      <c r="L341" s="23">
        <f>K341+1</f>
        <v>2024</v>
      </c>
      <c r="M341" s="23">
        <f>L341+1</f>
        <v>2025</v>
      </c>
      <c r="N341" s="23">
        <f>M341+1</f>
        <v>2026</v>
      </c>
      <c r="O341" s="23">
        <f>N341+1</f>
        <v>2027</v>
      </c>
      <c r="P341" s="57" t="s">
        <v>10</v>
      </c>
    </row>
    <row r="342" spans="3:16" ht="13.5" customHeight="1" thickBot="1" x14ac:dyDescent="0.25">
      <c r="C342" s="27"/>
      <c r="D342" s="96"/>
      <c r="E342" s="96"/>
      <c r="F342" s="96"/>
      <c r="G342" s="27"/>
      <c r="H342" s="47"/>
      <c r="I342" s="23" t="s">
        <v>15</v>
      </c>
      <c r="J342" s="52"/>
      <c r="K342" s="52"/>
      <c r="L342" s="52"/>
      <c r="M342" s="52"/>
      <c r="N342" s="52"/>
      <c r="O342" s="52"/>
      <c r="P342" s="58">
        <f>SUM(J342:O342)</f>
        <v>0</v>
      </c>
    </row>
    <row r="343" spans="3:16" ht="13.5" customHeight="1" thickTop="1" thickBot="1" x14ac:dyDescent="0.25">
      <c r="C343" s="49"/>
      <c r="D343" s="96"/>
      <c r="E343" s="96"/>
      <c r="F343" s="96"/>
      <c r="G343" s="27"/>
      <c r="H343" s="47"/>
      <c r="I343" s="23" t="s">
        <v>55</v>
      </c>
      <c r="J343" s="52"/>
      <c r="K343" s="52"/>
      <c r="L343" s="52"/>
      <c r="M343" s="52"/>
      <c r="N343" s="52"/>
      <c r="O343" s="52"/>
      <c r="P343" s="59">
        <f>SUM(J343:O343)</f>
        <v>0</v>
      </c>
    </row>
    <row r="344" spans="3:16" ht="13.5" customHeight="1" thickTop="1" thickBot="1" x14ac:dyDescent="0.25">
      <c r="C344" s="27"/>
      <c r="D344" s="96"/>
      <c r="E344" s="96"/>
      <c r="F344" s="96"/>
      <c r="G344" s="27"/>
      <c r="H344" s="47"/>
      <c r="I344" s="23" t="s">
        <v>3</v>
      </c>
      <c r="J344" s="52"/>
      <c r="K344" s="52"/>
      <c r="L344" s="52"/>
      <c r="M344" s="52"/>
      <c r="N344" s="52"/>
      <c r="O344" s="52"/>
      <c r="P344" s="60">
        <f>SUM(J344:O344)</f>
        <v>0</v>
      </c>
    </row>
    <row r="345" spans="3:16" ht="13.5" customHeight="1" thickTop="1" x14ac:dyDescent="0.2">
      <c r="C345" s="50" t="s">
        <v>58</v>
      </c>
      <c r="D345" s="97"/>
      <c r="E345" s="97"/>
      <c r="F345" s="97"/>
      <c r="G345" s="29"/>
      <c r="H345" s="48"/>
    </row>
    <row r="346" spans="3:16" ht="13.5" customHeight="1" x14ac:dyDescent="0.2">
      <c r="J346" s="44"/>
      <c r="L346" s="44"/>
      <c r="M346" s="44"/>
      <c r="N346" s="44"/>
      <c r="O346" s="44"/>
      <c r="P346" s="44"/>
    </row>
  </sheetData>
  <phoneticPr fontId="7" type="noConversion"/>
  <conditionalFormatting sqref="D7">
    <cfRule type="containsText" dxfId="319" priority="57" operator="containsText" text="Omfördelningsnytta">
      <formula>NOT(ISERROR(SEARCH("Omfördelningsnytta",D7)))</formula>
    </cfRule>
    <cfRule type="containsText" dxfId="318" priority="58" operator="containsText" text="Finansiell">
      <formula>NOT(ISERROR(SEARCH("Finansiell",D7)))</formula>
    </cfRule>
  </conditionalFormatting>
  <conditionalFormatting sqref="D29">
    <cfRule type="containsText" dxfId="317" priority="27" operator="containsText" text="Omfördelningsnytta">
      <formula>NOT(ISERROR(SEARCH("Omfördelningsnytta",D29)))</formula>
    </cfRule>
    <cfRule type="containsText" dxfId="316" priority="28" operator="containsText" text="Finansiell">
      <formula>NOT(ISERROR(SEARCH("Finansiell",D29)))</formula>
    </cfRule>
  </conditionalFormatting>
  <conditionalFormatting sqref="D53">
    <cfRule type="containsText" dxfId="315" priority="25" operator="containsText" text="Omfördelningsnytta">
      <formula>NOT(ISERROR(SEARCH("Omfördelningsnytta",D53)))</formula>
    </cfRule>
    <cfRule type="containsText" dxfId="314" priority="26" operator="containsText" text="Finansiell">
      <formula>NOT(ISERROR(SEARCH("Finansiell",D53)))</formula>
    </cfRule>
  </conditionalFormatting>
  <conditionalFormatting sqref="D76">
    <cfRule type="containsText" dxfId="313" priority="23" operator="containsText" text="Omfördelningsnytta">
      <formula>NOT(ISERROR(SEARCH("Omfördelningsnytta",D76)))</formula>
    </cfRule>
    <cfRule type="containsText" dxfId="312" priority="24" operator="containsText" text="Finansiell">
      <formula>NOT(ISERROR(SEARCH("Finansiell",D76)))</formula>
    </cfRule>
  </conditionalFormatting>
  <conditionalFormatting sqref="D99">
    <cfRule type="containsText" dxfId="311" priority="21" operator="containsText" text="Omfördelningsnytta">
      <formula>NOT(ISERROR(SEARCH("Omfördelningsnytta",D99)))</formula>
    </cfRule>
    <cfRule type="containsText" dxfId="310" priority="22" operator="containsText" text="Finansiell">
      <formula>NOT(ISERROR(SEARCH("Finansiell",D99)))</formula>
    </cfRule>
  </conditionalFormatting>
  <conditionalFormatting sqref="D122">
    <cfRule type="containsText" dxfId="309" priority="19" operator="containsText" text="Omfördelningsnytta">
      <formula>NOT(ISERROR(SEARCH("Omfördelningsnytta",D122)))</formula>
    </cfRule>
    <cfRule type="containsText" dxfId="308" priority="20" operator="containsText" text="Finansiell">
      <formula>NOT(ISERROR(SEARCH("Finansiell",D122)))</formula>
    </cfRule>
  </conditionalFormatting>
  <conditionalFormatting sqref="D145">
    <cfRule type="containsText" dxfId="307" priority="17" operator="containsText" text="Omfördelningsnytta">
      <formula>NOT(ISERROR(SEARCH("Omfördelningsnytta",D145)))</formula>
    </cfRule>
    <cfRule type="containsText" dxfId="306" priority="18" operator="containsText" text="Finansiell">
      <formula>NOT(ISERROR(SEARCH("Finansiell",D145)))</formula>
    </cfRule>
  </conditionalFormatting>
  <conditionalFormatting sqref="D168">
    <cfRule type="containsText" dxfId="305" priority="15" operator="containsText" text="Omfördelningsnytta">
      <formula>NOT(ISERROR(SEARCH("Omfördelningsnytta",D168)))</formula>
    </cfRule>
    <cfRule type="containsText" dxfId="304" priority="16" operator="containsText" text="Finansiell">
      <formula>NOT(ISERROR(SEARCH("Finansiell",D168)))</formula>
    </cfRule>
  </conditionalFormatting>
  <conditionalFormatting sqref="D191">
    <cfRule type="containsText" dxfId="303" priority="13" operator="containsText" text="Omfördelningsnytta">
      <formula>NOT(ISERROR(SEARCH("Omfördelningsnytta",D191)))</formula>
    </cfRule>
    <cfRule type="containsText" dxfId="302" priority="14" operator="containsText" text="Finansiell">
      <formula>NOT(ISERROR(SEARCH("Finansiell",D191)))</formula>
    </cfRule>
  </conditionalFormatting>
  <conditionalFormatting sqref="D214">
    <cfRule type="containsText" dxfId="301" priority="11" operator="containsText" text="Omfördelningsnytta">
      <formula>NOT(ISERROR(SEARCH("Omfördelningsnytta",D214)))</formula>
    </cfRule>
    <cfRule type="containsText" dxfId="300" priority="12" operator="containsText" text="Finansiell">
      <formula>NOT(ISERROR(SEARCH("Finansiell",D214)))</formula>
    </cfRule>
  </conditionalFormatting>
  <conditionalFormatting sqref="D237">
    <cfRule type="containsText" dxfId="299" priority="9" operator="containsText" text="Omfördelningsnytta">
      <formula>NOT(ISERROR(SEARCH("Omfördelningsnytta",D237)))</formula>
    </cfRule>
    <cfRule type="containsText" dxfId="298" priority="10" operator="containsText" text="Finansiell">
      <formula>NOT(ISERROR(SEARCH("Finansiell",D237)))</formula>
    </cfRule>
  </conditionalFormatting>
  <conditionalFormatting sqref="D260">
    <cfRule type="containsText" dxfId="297" priority="7" operator="containsText" text="Omfördelningsnytta">
      <formula>NOT(ISERROR(SEARCH("Omfördelningsnytta",D260)))</formula>
    </cfRule>
    <cfRule type="containsText" dxfId="296" priority="8" operator="containsText" text="Finansiell">
      <formula>NOT(ISERROR(SEARCH("Finansiell",D260)))</formula>
    </cfRule>
  </conditionalFormatting>
  <conditionalFormatting sqref="D283">
    <cfRule type="containsText" dxfId="295" priority="5" operator="containsText" text="Omfördelningsnytta">
      <formula>NOT(ISERROR(SEARCH("Omfördelningsnytta",D283)))</formula>
    </cfRule>
    <cfRule type="containsText" dxfId="294" priority="6" operator="containsText" text="Finansiell">
      <formula>NOT(ISERROR(SEARCH("Finansiell",D283)))</formula>
    </cfRule>
  </conditionalFormatting>
  <conditionalFormatting sqref="D306">
    <cfRule type="containsText" dxfId="293" priority="3" operator="containsText" text="Omfördelningsnytta">
      <formula>NOT(ISERROR(SEARCH("Omfördelningsnytta",D306)))</formula>
    </cfRule>
    <cfRule type="containsText" dxfId="292" priority="4" operator="containsText" text="Finansiell">
      <formula>NOT(ISERROR(SEARCH("Finansiell",D306)))</formula>
    </cfRule>
  </conditionalFormatting>
  <conditionalFormatting sqref="D329">
    <cfRule type="containsText" dxfId="291" priority="1" operator="containsText" text="Omfördelningsnytta">
      <formula>NOT(ISERROR(SEARCH("Omfördelningsnytta",D329)))</formula>
    </cfRule>
    <cfRule type="containsText" dxfId="290" priority="2" operator="containsText" text="Finansiell">
      <formula>NOT(ISERROR(SEARCH("Finansiell",D329)))</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CF257E8-0F15-474D-B577-597EC67DBF51}">
          <x14:formula1>
            <xm:f>OFFSET(Försättsblad!$B$11,1,0,COUNTIF(Försättsblad!$B$12:$B$25,"&lt;&gt;"))</xm:f>
          </x14:formula1>
          <xm:sqref>D6 D28 D52 D75 D98 D121 D144 D167 D190 D213 D236 D259 D282 D305 D328</xm:sqref>
        </x14:dataValidation>
        <x14:dataValidation type="list" errorStyle="information" allowBlank="1" showInputMessage="1" showErrorMessage="1" errorTitle="Välj " error="Välj en nyttokategori_x000a_ i rullisten. " xr:uid="{662BE1D2-34F0-4CA8-A29B-2E3FB72F42EF}">
          <x14:formula1>
            <xm:f>Admin!$G$8:$G$9</xm:f>
          </x14:formula1>
          <xm:sqref>D7 D29 D53 D76 D99 D122 D145 D168 D191 D214 D237 D260 D283 D306 D329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3"/>
  </sheetPr>
  <dimension ref="A1:AB34"/>
  <sheetViews>
    <sheetView showGridLines="0" zoomScaleNormal="100" workbookViewId="0">
      <pane ySplit="2" topLeftCell="A3" activePane="bottomLeft" state="frozen"/>
      <selection pane="bottomLeft" activeCell="E14" sqref="E14"/>
    </sheetView>
  </sheetViews>
  <sheetFormatPr defaultRowHeight="12.75" x14ac:dyDescent="0.2"/>
  <cols>
    <col min="1" max="1" width="1.85546875" style="11" customWidth="1"/>
    <col min="2" max="2" width="4.28515625" style="11" customWidth="1"/>
    <col min="3" max="3" width="61.140625" style="11" customWidth="1"/>
    <col min="4" max="4" width="17.28515625" style="11" bestFit="1" customWidth="1"/>
    <col min="5" max="5" width="20.5703125" style="11" customWidth="1"/>
    <col min="6" max="6" width="14.85546875" style="11" customWidth="1"/>
    <col min="7" max="8" width="14.7109375" style="11" bestFit="1" customWidth="1"/>
    <col min="9" max="11" width="16.28515625" style="11" bestFit="1" customWidth="1"/>
    <col min="12" max="12" width="16.7109375" style="11" bestFit="1" customWidth="1"/>
    <col min="13" max="13" width="16.7109375" style="11" customWidth="1"/>
    <col min="14" max="18" width="16.7109375" style="11" hidden="1" customWidth="1"/>
    <col min="19" max="19" width="16.28515625" style="11" hidden="1" customWidth="1"/>
    <col min="20" max="20" width="16.28515625" style="11" customWidth="1"/>
    <col min="21" max="26" width="16.28515625" style="11" hidden="1" customWidth="1"/>
    <col min="27" max="27" width="16.28515625" style="11" bestFit="1" customWidth="1"/>
    <col min="28" max="28" width="30.5703125" style="11" customWidth="1"/>
    <col min="29" max="16384" width="9.140625" style="11"/>
  </cols>
  <sheetData>
    <row r="1" spans="1:28" s="75" customFormat="1" ht="15.75" x14ac:dyDescent="0.2">
      <c r="A1" s="101"/>
      <c r="B1" s="306" t="s">
        <v>67</v>
      </c>
      <c r="C1" s="306"/>
      <c r="D1" s="306"/>
      <c r="E1" s="110" t="s">
        <v>61</v>
      </c>
      <c r="F1" s="110"/>
      <c r="G1" s="101"/>
      <c r="H1" s="101"/>
      <c r="I1" s="101"/>
      <c r="J1" s="101"/>
      <c r="K1" s="101"/>
      <c r="L1" s="101"/>
      <c r="M1" s="101"/>
      <c r="N1" s="101"/>
      <c r="O1" s="101"/>
      <c r="P1" s="101"/>
      <c r="Q1" s="101"/>
      <c r="R1" s="101"/>
      <c r="S1" s="101"/>
      <c r="T1" s="101"/>
      <c r="U1" s="101"/>
      <c r="V1" s="101"/>
      <c r="W1" s="101"/>
      <c r="X1" s="101"/>
      <c r="Y1" s="101"/>
      <c r="Z1" s="101"/>
      <c r="AA1" s="101"/>
      <c r="AB1" s="101"/>
    </row>
    <row r="2" spans="1:28" x14ac:dyDescent="0.2">
      <c r="A2" s="104"/>
      <c r="B2" s="111" t="str">
        <f>IF(Försättsblad!C6=0,"",Försättsblad!C6)</f>
        <v>Möjlighet till elektoronisk identifiering av de som ringer 1177</v>
      </c>
      <c r="C2" s="104"/>
      <c r="D2" s="104"/>
      <c r="E2" s="109"/>
      <c r="F2" s="112"/>
      <c r="G2" s="112"/>
      <c r="H2" s="112"/>
      <c r="I2" s="112"/>
      <c r="J2" s="112"/>
      <c r="K2" s="112"/>
      <c r="L2" s="112"/>
      <c r="M2" s="112"/>
      <c r="N2" s="112"/>
      <c r="O2" s="112"/>
      <c r="P2" s="112"/>
      <c r="Q2" s="112"/>
      <c r="R2" s="112"/>
      <c r="S2" s="112"/>
      <c r="T2" s="112"/>
      <c r="U2" s="112"/>
      <c r="V2" s="112"/>
      <c r="W2" s="112"/>
      <c r="X2" s="112"/>
      <c r="Y2" s="112"/>
      <c r="Z2" s="112"/>
      <c r="AA2" s="112"/>
      <c r="AB2" s="112"/>
    </row>
    <row r="3" spans="1:28" ht="21.75" customHeight="1" x14ac:dyDescent="0.2">
      <c r="B3" s="12"/>
      <c r="C3" s="12"/>
      <c r="D3" s="12"/>
      <c r="E3" s="12"/>
      <c r="F3" s="13"/>
      <c r="G3" s="13"/>
      <c r="H3" s="13"/>
      <c r="I3" s="13"/>
      <c r="J3" s="13"/>
      <c r="K3" s="13"/>
      <c r="L3" s="13"/>
      <c r="M3" s="13"/>
      <c r="N3" s="13"/>
      <c r="O3" s="13"/>
      <c r="P3" s="13"/>
      <c r="Q3" s="13"/>
      <c r="R3" s="13"/>
      <c r="S3" s="13"/>
      <c r="T3" s="13"/>
      <c r="U3" s="13"/>
      <c r="V3" s="13"/>
      <c r="W3" s="13"/>
      <c r="X3" s="13"/>
      <c r="Y3" s="13"/>
      <c r="Z3" s="13"/>
      <c r="AA3" s="13"/>
      <c r="AB3" s="13"/>
    </row>
    <row r="4" spans="1:28" x14ac:dyDescent="0.2">
      <c r="B4" s="12"/>
      <c r="C4" s="12"/>
      <c r="D4" s="12"/>
      <c r="E4" s="12"/>
      <c r="F4" s="23" t="s">
        <v>52</v>
      </c>
      <c r="G4" s="23"/>
      <c r="H4" s="23"/>
      <c r="I4" s="23"/>
      <c r="J4" s="23"/>
      <c r="K4" s="23"/>
      <c r="L4" s="13"/>
      <c r="M4" s="13"/>
      <c r="N4" s="13"/>
      <c r="O4" s="13"/>
      <c r="P4" s="13"/>
      <c r="Q4" s="13"/>
      <c r="R4" s="13"/>
      <c r="S4" s="13"/>
      <c r="T4" s="13"/>
      <c r="U4" s="13"/>
      <c r="V4" s="13"/>
      <c r="W4" s="13"/>
      <c r="X4" s="13"/>
      <c r="Y4" s="13"/>
      <c r="Z4" s="13"/>
      <c r="AA4" s="13"/>
      <c r="AB4" s="13"/>
    </row>
    <row r="5" spans="1:28" s="17" customFormat="1" ht="12.75" customHeight="1" x14ac:dyDescent="0.2">
      <c r="B5" s="12"/>
      <c r="C5" s="12"/>
      <c r="D5" s="12"/>
      <c r="F5" s="55">
        <f>(1+Diskonteringsränta)^0</f>
        <v>1</v>
      </c>
      <c r="G5" s="55">
        <f>(1+Diskonteringsränta)^1</f>
        <v>1.03</v>
      </c>
      <c r="H5" s="55">
        <f>(1+Diskonteringsränta)^2</f>
        <v>1.0609</v>
      </c>
      <c r="I5" s="55">
        <f>(1+Diskonteringsränta)^3</f>
        <v>1.092727</v>
      </c>
      <c r="J5" s="55">
        <f>(1+Diskonteringsränta)^4</f>
        <v>1.1255088099999999</v>
      </c>
      <c r="K5" s="55">
        <f>(1+Diskonteringsränta)^5</f>
        <v>1.1592740742999998</v>
      </c>
      <c r="L5" s="13"/>
      <c r="M5" s="13"/>
      <c r="N5" s="13"/>
      <c r="O5" s="13"/>
      <c r="P5" s="13"/>
      <c r="Q5" s="13"/>
      <c r="R5" s="13"/>
      <c r="S5" s="13"/>
      <c r="T5" s="13"/>
      <c r="U5" s="13"/>
      <c r="V5" s="13"/>
      <c r="W5" s="13"/>
      <c r="X5" s="13"/>
      <c r="Y5" s="13"/>
      <c r="Z5" s="13"/>
      <c r="AA5" s="13"/>
      <c r="AB5" s="13"/>
    </row>
    <row r="6" spans="1:28" s="17" customFormat="1" x14ac:dyDescent="0.2">
      <c r="B6" s="12"/>
      <c r="C6" s="12"/>
      <c r="D6" s="12"/>
      <c r="L6" s="13"/>
      <c r="M6" s="13"/>
      <c r="N6" s="13"/>
      <c r="O6" s="13"/>
      <c r="P6" s="13"/>
      <c r="Q6" s="13"/>
      <c r="R6" s="13"/>
      <c r="S6" s="13"/>
      <c r="T6" s="13"/>
      <c r="U6" s="13"/>
      <c r="V6" s="13"/>
      <c r="W6" s="13"/>
      <c r="X6" s="13"/>
      <c r="Y6" s="13"/>
      <c r="Z6" s="13"/>
      <c r="AA6" s="13"/>
      <c r="AB6" s="13"/>
    </row>
    <row r="7" spans="1:28" s="17" customFormat="1" x14ac:dyDescent="0.2">
      <c r="B7" s="12"/>
      <c r="C7" s="12"/>
      <c r="D7" s="12"/>
      <c r="E7" s="12"/>
      <c r="F7" s="72">
        <f>Startår</f>
        <v>2022</v>
      </c>
      <c r="G7" s="73">
        <f>F7+1</f>
        <v>2023</v>
      </c>
      <c r="H7" s="73">
        <f>G7+1</f>
        <v>2024</v>
      </c>
      <c r="I7" s="73">
        <f>H7+1</f>
        <v>2025</v>
      </c>
      <c r="J7" s="73">
        <f>I7+1</f>
        <v>2026</v>
      </c>
      <c r="K7" s="74">
        <f>J7+1</f>
        <v>2027</v>
      </c>
      <c r="L7" s="13"/>
      <c r="M7" s="13"/>
      <c r="N7" s="72">
        <f>Startår</f>
        <v>2022</v>
      </c>
      <c r="O7" s="73">
        <f>N7+1</f>
        <v>2023</v>
      </c>
      <c r="P7" s="73">
        <f>O7+1</f>
        <v>2024</v>
      </c>
      <c r="Q7" s="73">
        <f>P7+1</f>
        <v>2025</v>
      </c>
      <c r="R7" s="73">
        <f>Q7+1</f>
        <v>2026</v>
      </c>
      <c r="S7" s="74">
        <f>R7+1</f>
        <v>2027</v>
      </c>
      <c r="T7" s="13"/>
      <c r="U7" s="72">
        <f>Startår</f>
        <v>2022</v>
      </c>
      <c r="V7" s="73">
        <f>U7+1</f>
        <v>2023</v>
      </c>
      <c r="W7" s="73">
        <f>V7+1</f>
        <v>2024</v>
      </c>
      <c r="X7" s="73">
        <f>W7+1</f>
        <v>2025</v>
      </c>
      <c r="Y7" s="73">
        <f>X7+1</f>
        <v>2026</v>
      </c>
      <c r="Z7" s="74">
        <f>Y7+1</f>
        <v>2027</v>
      </c>
      <c r="AA7" s="13"/>
      <c r="AB7" s="13"/>
    </row>
    <row r="8" spans="1:28" s="56" customFormat="1" x14ac:dyDescent="0.2">
      <c r="B8" s="61" t="s">
        <v>59</v>
      </c>
      <c r="C8" s="62" t="s">
        <v>21</v>
      </c>
      <c r="D8" s="62" t="s">
        <v>16</v>
      </c>
      <c r="E8" s="62" t="s">
        <v>17</v>
      </c>
      <c r="F8" s="62" t="s">
        <v>77</v>
      </c>
      <c r="G8" s="62" t="s">
        <v>78</v>
      </c>
      <c r="H8" s="62" t="s">
        <v>79</v>
      </c>
      <c r="I8" s="62" t="s">
        <v>80</v>
      </c>
      <c r="J8" s="62" t="s">
        <v>81</v>
      </c>
      <c r="K8" s="62" t="s">
        <v>82</v>
      </c>
      <c r="L8" s="62" t="s">
        <v>45</v>
      </c>
      <c r="M8" s="63" t="s">
        <v>4</v>
      </c>
      <c r="N8" s="62" t="s">
        <v>83</v>
      </c>
      <c r="O8" s="62" t="s">
        <v>84</v>
      </c>
      <c r="P8" s="62" t="s">
        <v>85</v>
      </c>
      <c r="Q8" s="62" t="s">
        <v>86</v>
      </c>
      <c r="R8" s="62" t="s">
        <v>87</v>
      </c>
      <c r="S8" s="62" t="s">
        <v>88</v>
      </c>
      <c r="T8" s="62" t="s">
        <v>43</v>
      </c>
      <c r="U8" s="62" t="s">
        <v>89</v>
      </c>
      <c r="V8" s="62" t="s">
        <v>90</v>
      </c>
      <c r="W8" s="62" t="s">
        <v>91</v>
      </c>
      <c r="X8" s="62" t="s">
        <v>92</v>
      </c>
      <c r="Y8" s="62" t="s">
        <v>93</v>
      </c>
      <c r="Z8" s="62" t="s">
        <v>94</v>
      </c>
      <c r="AA8" s="62" t="s">
        <v>44</v>
      </c>
      <c r="AB8" s="13"/>
    </row>
    <row r="9" spans="1:28" x14ac:dyDescent="0.2">
      <c r="B9" s="162">
        <v>1</v>
      </c>
      <c r="C9" s="66" t="str">
        <f>'Räkna på nyttor'!D5</f>
        <v>Ökad tillgänglighet hos 1177</v>
      </c>
      <c r="D9" s="67" t="str">
        <f>'Räkna på nyttor'!D6</f>
        <v>Regioner</v>
      </c>
      <c r="E9" s="65" t="str">
        <f>'Räkna på nyttor'!D7</f>
        <v>Omfördelningsnytta</v>
      </c>
      <c r="F9" s="66">
        <f>'Räkna på nyttor'!J20/F5</f>
        <v>0</v>
      </c>
      <c r="G9" s="66">
        <f>'Räkna på nyttor'!K20/G5</f>
        <v>9507669.9029126205</v>
      </c>
      <c r="H9" s="66">
        <f>'Räkna på nyttor'!L20/H5</f>
        <v>9230747.4785559438</v>
      </c>
      <c r="I9" s="66">
        <f>'Räkna på nyttor'!M20/I5</f>
        <v>8961890.7558795568</v>
      </c>
      <c r="J9" s="66">
        <f>'Räkna på nyttor'!N20/J5</f>
        <v>8700864.8115335498</v>
      </c>
      <c r="K9" s="66">
        <f>'Räkna på nyttor'!O20/K5</f>
        <v>8447441.5645956807</v>
      </c>
      <c r="L9" s="164">
        <f>SUM(Nyttor[[#This Row],[Troligt år 1]:[Troligt år 6]])</f>
        <v>44848614.513477355</v>
      </c>
      <c r="M9" s="165">
        <f t="shared" ref="M9:M23" si="0">IF(OR(ISBLANK(L9),L9=0),"",(AA9-T9)/5/L9)</f>
        <v>0.16</v>
      </c>
      <c r="N9" s="66">
        <f>'Räkna på nyttor'!$J$21/F5</f>
        <v>0</v>
      </c>
      <c r="O9" s="66">
        <f>'Räkna på nyttor'!$K$21/G5</f>
        <v>1901533.9805825243</v>
      </c>
      <c r="P9" s="66">
        <f>'Räkna på nyttor'!$L$21/H5</f>
        <v>1846149.4957111888</v>
      </c>
      <c r="Q9" s="66">
        <f>'Räkna på nyttor'!$M$21/I5</f>
        <v>1792378.1511759113</v>
      </c>
      <c r="R9" s="66">
        <f>'Räkna på nyttor'!$N$21/J5</f>
        <v>1740172.9623067102</v>
      </c>
      <c r="S9" s="66">
        <f>'Räkna på nyttor'!$O$21/K5</f>
        <v>1689488.3129191361</v>
      </c>
      <c r="T9" s="164">
        <f>SUM(Nyttor[[#This Row],[Min år 1]:[Min år 6]])</f>
        <v>8969722.9026954696</v>
      </c>
      <c r="U9" s="66">
        <f>'Räkna på nyttor'!$J$22/F5</f>
        <v>0</v>
      </c>
      <c r="V9" s="66">
        <f>'Räkna på nyttor'!$K$22/G5</f>
        <v>9507669.9029126205</v>
      </c>
      <c r="W9" s="66">
        <f>'Räkna på nyttor'!$L$22/H5</f>
        <v>9230747.4785559438</v>
      </c>
      <c r="X9" s="66">
        <f>'Räkna på nyttor'!$M$22/I5</f>
        <v>8961890.7558795568</v>
      </c>
      <c r="Y9" s="66">
        <f>'Räkna på nyttor'!$N$22/J5</f>
        <v>8700864.8115335498</v>
      </c>
      <c r="Z9" s="66">
        <f>'Räkna på nyttor'!$O$22/K5</f>
        <v>8447441.5645956807</v>
      </c>
      <c r="AA9" s="163">
        <f>SUM(Nyttor[[#This Row],[Max år 1]:[Max år 6]])</f>
        <v>44848614.513477355</v>
      </c>
      <c r="AB9" s="13"/>
    </row>
    <row r="10" spans="1:28" x14ac:dyDescent="0.2">
      <c r="B10" s="166">
        <v>2</v>
      </c>
      <c r="C10" s="69">
        <f>'Räkna på nyttor'!D27</f>
        <v>0</v>
      </c>
      <c r="D10" s="70">
        <f>'Räkna på nyttor'!D28</f>
        <v>0</v>
      </c>
      <c r="E10" s="68">
        <f>'Räkna på nyttor'!D29</f>
        <v>0</v>
      </c>
      <c r="F10" s="69">
        <f>'Räkna på nyttor'!J42/F5</f>
        <v>0</v>
      </c>
      <c r="G10" s="69">
        <f>'Räkna på nyttor'!K42/G5</f>
        <v>0</v>
      </c>
      <c r="H10" s="69">
        <f>'Räkna på nyttor'!L42/H5</f>
        <v>0</v>
      </c>
      <c r="I10" s="69">
        <f>'Räkna på nyttor'!M42/I5</f>
        <v>0</v>
      </c>
      <c r="J10" s="69">
        <f>'Räkna på nyttor'!N42/J5</f>
        <v>0</v>
      </c>
      <c r="K10" s="69">
        <f>'Räkna på nyttor'!O42/K5</f>
        <v>0</v>
      </c>
      <c r="L10" s="164">
        <f>SUM(Nyttor[[#This Row],[Troligt år 1]:[Troligt år 6]])</f>
        <v>0</v>
      </c>
      <c r="M10" s="165" t="str">
        <f t="shared" si="0"/>
        <v/>
      </c>
      <c r="N10" s="69">
        <f>'Räkna på nyttor'!$J$43/F5</f>
        <v>0</v>
      </c>
      <c r="O10" s="69">
        <f>'Räkna på nyttor'!$K$43/G5</f>
        <v>0</v>
      </c>
      <c r="P10" s="69">
        <f>'Räkna på nyttor'!$L$43/H5</f>
        <v>0</v>
      </c>
      <c r="Q10" s="69">
        <f>'Räkna på nyttor'!$M$43/I5</f>
        <v>0</v>
      </c>
      <c r="R10" s="69">
        <f>'Räkna på nyttor'!$N$43/J5</f>
        <v>0</v>
      </c>
      <c r="S10" s="69">
        <f>'Räkna på nyttor'!$O$43/K5</f>
        <v>0</v>
      </c>
      <c r="T10" s="164">
        <f>SUM(Nyttor[[#This Row],[Min år 1]:[Min år 6]])</f>
        <v>0</v>
      </c>
      <c r="U10" s="69">
        <f>'Räkna på nyttor'!$J$44/F5</f>
        <v>0</v>
      </c>
      <c r="V10" s="69">
        <f>'Räkna på nyttor'!$K$44/G5</f>
        <v>0</v>
      </c>
      <c r="W10" s="69">
        <f>'Räkna på nyttor'!$L$44/H5</f>
        <v>0</v>
      </c>
      <c r="X10" s="69">
        <f>'Räkna på nyttor'!$M$44/I5</f>
        <v>0</v>
      </c>
      <c r="Y10" s="69">
        <f>'Räkna på nyttor'!$N$44/J5</f>
        <v>0</v>
      </c>
      <c r="Z10" s="69">
        <f>'Räkna på nyttor'!$O$44/K5</f>
        <v>0</v>
      </c>
      <c r="AA10" s="163">
        <f>SUM(Nyttor[[#This Row],[Max år 1]:[Max år 6]])</f>
        <v>0</v>
      </c>
      <c r="AB10" s="13"/>
    </row>
    <row r="11" spans="1:28" ht="12.75" customHeight="1" x14ac:dyDescent="0.2">
      <c r="B11" s="162">
        <v>3</v>
      </c>
      <c r="C11" s="69">
        <f>'Räkna på nyttor'!D51</f>
        <v>0</v>
      </c>
      <c r="D11" s="70">
        <f>'Räkna på nyttor'!D52</f>
        <v>0</v>
      </c>
      <c r="E11" s="68">
        <f>'Räkna på nyttor'!D53</f>
        <v>0</v>
      </c>
      <c r="F11" s="69">
        <f>'Räkna på nyttor'!J66/F5</f>
        <v>0</v>
      </c>
      <c r="G11" s="69">
        <f>'Räkna på nyttor'!K66/G5</f>
        <v>0</v>
      </c>
      <c r="H11" s="69">
        <f>'Räkna på nyttor'!L66/H5</f>
        <v>0</v>
      </c>
      <c r="I11" s="69">
        <f>'Räkna på nyttor'!M66/I5</f>
        <v>0</v>
      </c>
      <c r="J11" s="69">
        <f>'Räkna på nyttor'!N66/J5</f>
        <v>0</v>
      </c>
      <c r="K11" s="69">
        <f>'Räkna på nyttor'!O66/K5</f>
        <v>0</v>
      </c>
      <c r="L11" s="164">
        <f>SUM(Nyttor[[#This Row],[Troligt år 1]:[Troligt år 6]])</f>
        <v>0</v>
      </c>
      <c r="M11" s="165" t="str">
        <f t="shared" si="0"/>
        <v/>
      </c>
      <c r="N11" s="69">
        <f>'Räkna på nyttor'!$J$67/F5</f>
        <v>0</v>
      </c>
      <c r="O11" s="69">
        <f>'Räkna på nyttor'!$K$67/G5</f>
        <v>0</v>
      </c>
      <c r="P11" s="69">
        <f>'Räkna på nyttor'!$L$67/H5</f>
        <v>0</v>
      </c>
      <c r="Q11" s="69">
        <f>'Räkna på nyttor'!$M$67/I5</f>
        <v>0</v>
      </c>
      <c r="R11" s="69">
        <f>'Räkna på nyttor'!$N$67/J5</f>
        <v>0</v>
      </c>
      <c r="S11" s="69">
        <f>'Räkna på nyttor'!$O$67/K5</f>
        <v>0</v>
      </c>
      <c r="T11" s="164">
        <f>SUM(Nyttor[[#This Row],[Min år 1]:[Min år 6]])</f>
        <v>0</v>
      </c>
      <c r="U11" s="69">
        <f>'Räkna på nyttor'!$J$68/F5</f>
        <v>0</v>
      </c>
      <c r="V11" s="69">
        <f>'Räkna på nyttor'!$K$68/G5</f>
        <v>0</v>
      </c>
      <c r="W11" s="69">
        <f>'Räkna på nyttor'!$L$68/H5</f>
        <v>0</v>
      </c>
      <c r="X11" s="69">
        <f>'Räkna på nyttor'!$M$68/I5</f>
        <v>0</v>
      </c>
      <c r="Y11" s="69">
        <f>'Räkna på nyttor'!$N$68/J5</f>
        <v>0</v>
      </c>
      <c r="Z11" s="69">
        <f>'Räkna på nyttor'!$O$68/K5</f>
        <v>0</v>
      </c>
      <c r="AA11" s="163">
        <f>SUM(Nyttor[[#This Row],[Max år 1]:[Max år 6]])</f>
        <v>0</v>
      </c>
      <c r="AB11" s="13"/>
    </row>
    <row r="12" spans="1:28" x14ac:dyDescent="0.2">
      <c r="B12" s="166">
        <v>4</v>
      </c>
      <c r="C12" s="69">
        <f>'Räkna på nyttor'!D74</f>
        <v>0</v>
      </c>
      <c r="D12" s="70">
        <f>'Räkna på nyttor'!D75</f>
        <v>0</v>
      </c>
      <c r="E12" s="68">
        <f>'Räkna på nyttor'!D76</f>
        <v>0</v>
      </c>
      <c r="F12" s="69">
        <f>'Räkna på nyttor'!J89/F5</f>
        <v>0</v>
      </c>
      <c r="G12" s="69">
        <f>'Räkna på nyttor'!K89/G5</f>
        <v>0</v>
      </c>
      <c r="H12" s="69">
        <f>'Räkna på nyttor'!L89/H5</f>
        <v>0</v>
      </c>
      <c r="I12" s="69">
        <f>'Räkna på nyttor'!M89/I5</f>
        <v>0</v>
      </c>
      <c r="J12" s="69">
        <f>'Räkna på nyttor'!N89/J5</f>
        <v>0</v>
      </c>
      <c r="K12" s="69">
        <f>'Räkna på nyttor'!O89/K5</f>
        <v>0</v>
      </c>
      <c r="L12" s="164">
        <f>SUM(Nyttor[[#This Row],[Troligt år 1]:[Troligt år 6]])</f>
        <v>0</v>
      </c>
      <c r="M12" s="165" t="str">
        <f t="shared" si="0"/>
        <v/>
      </c>
      <c r="N12" s="69">
        <f>'Räkna på nyttor'!$J$90/F5</f>
        <v>0</v>
      </c>
      <c r="O12" s="69">
        <f>'Räkna på nyttor'!$K$90/G5</f>
        <v>0</v>
      </c>
      <c r="P12" s="69">
        <f>'Räkna på nyttor'!$L$90/H5</f>
        <v>0</v>
      </c>
      <c r="Q12" s="69">
        <f>'Räkna på nyttor'!$M$90/I5</f>
        <v>0</v>
      </c>
      <c r="R12" s="69">
        <f>'Räkna på nyttor'!$N$90/J5</f>
        <v>0</v>
      </c>
      <c r="S12" s="69">
        <f>'Räkna på nyttor'!$O$90/K5</f>
        <v>0</v>
      </c>
      <c r="T12" s="164">
        <f>SUM(Nyttor[[#This Row],[Min år 1]:[Min år 6]])</f>
        <v>0</v>
      </c>
      <c r="U12" s="69">
        <f>'Räkna på nyttor'!$J$91/F5</f>
        <v>0</v>
      </c>
      <c r="V12" s="69">
        <f>'Räkna på nyttor'!$K$91/G5</f>
        <v>0</v>
      </c>
      <c r="W12" s="69">
        <f>'Räkna på nyttor'!$L$91/H5</f>
        <v>0</v>
      </c>
      <c r="X12" s="69">
        <f>'Räkna på nyttor'!$M$91/I5</f>
        <v>0</v>
      </c>
      <c r="Y12" s="69">
        <f>'Räkna på nyttor'!$N$91/J5</f>
        <v>0</v>
      </c>
      <c r="Z12" s="69">
        <f>'Räkna på nyttor'!$O$91/K5</f>
        <v>0</v>
      </c>
      <c r="AA12" s="163">
        <f>SUM(Nyttor[[#This Row],[Max år 1]:[Max år 6]])</f>
        <v>0</v>
      </c>
      <c r="AB12" s="13"/>
    </row>
    <row r="13" spans="1:28" x14ac:dyDescent="0.2">
      <c r="B13" s="162">
        <v>5</v>
      </c>
      <c r="C13" s="69">
        <f>'Räkna på nyttor'!D97</f>
        <v>0</v>
      </c>
      <c r="D13" s="70">
        <f>'Räkna på nyttor'!D98</f>
        <v>0</v>
      </c>
      <c r="E13" s="68">
        <f>'Räkna på nyttor'!D99</f>
        <v>0</v>
      </c>
      <c r="F13" s="69">
        <f>'Räkna på nyttor'!J112/F5</f>
        <v>0</v>
      </c>
      <c r="G13" s="69">
        <f>'Räkna på nyttor'!K112/G5</f>
        <v>0</v>
      </c>
      <c r="H13" s="69">
        <f>'Räkna på nyttor'!L112/H5</f>
        <v>0</v>
      </c>
      <c r="I13" s="69">
        <f>'Räkna på nyttor'!M112/I5</f>
        <v>0</v>
      </c>
      <c r="J13" s="69">
        <f>'Räkna på nyttor'!N112/J5</f>
        <v>0</v>
      </c>
      <c r="K13" s="69">
        <f>'Räkna på nyttor'!O112/K5</f>
        <v>0</v>
      </c>
      <c r="L13" s="164">
        <f>SUM(Nyttor[[#This Row],[Troligt år 1]:[Troligt år 6]])</f>
        <v>0</v>
      </c>
      <c r="M13" s="165" t="str">
        <f t="shared" si="0"/>
        <v/>
      </c>
      <c r="N13" s="69">
        <f>'Räkna på nyttor'!$J$113/F5</f>
        <v>0</v>
      </c>
      <c r="O13" s="69">
        <f>'Räkna på nyttor'!$K$113/G5</f>
        <v>0</v>
      </c>
      <c r="P13" s="69">
        <f>'Räkna på nyttor'!$L$113/H5</f>
        <v>0</v>
      </c>
      <c r="Q13" s="69">
        <f>'Räkna på nyttor'!$M$113/I5</f>
        <v>0</v>
      </c>
      <c r="R13" s="69">
        <f>'Räkna på nyttor'!$N$113/J5</f>
        <v>0</v>
      </c>
      <c r="S13" s="69">
        <f>'Räkna på nyttor'!$O$113/K5</f>
        <v>0</v>
      </c>
      <c r="T13" s="164">
        <f>SUM(Nyttor[[#This Row],[Min år 1]:[Min år 6]])</f>
        <v>0</v>
      </c>
      <c r="U13" s="69">
        <f>'Räkna på nyttor'!$J$114/F5</f>
        <v>0</v>
      </c>
      <c r="V13" s="69">
        <f>'Räkna på nyttor'!$K$114/G5</f>
        <v>0</v>
      </c>
      <c r="W13" s="69">
        <f>'Räkna på nyttor'!$L$114/H5</f>
        <v>0</v>
      </c>
      <c r="X13" s="69">
        <f>'Räkna på nyttor'!$M$114/I5</f>
        <v>0</v>
      </c>
      <c r="Y13" s="69">
        <f>'Räkna på nyttor'!$N$114/J5</f>
        <v>0</v>
      </c>
      <c r="Z13" s="69">
        <f>'Räkna på nyttor'!$O$114/K5</f>
        <v>0</v>
      </c>
      <c r="AA13" s="163">
        <f>SUM(Nyttor[[#This Row],[Max år 1]:[Max år 6]])</f>
        <v>0</v>
      </c>
      <c r="AB13" s="13"/>
    </row>
    <row r="14" spans="1:28" x14ac:dyDescent="0.2">
      <c r="B14" s="166">
        <v>6</v>
      </c>
      <c r="C14" s="69">
        <f>'Räkna på nyttor'!D120</f>
        <v>0</v>
      </c>
      <c r="D14" s="70">
        <f>'Räkna på nyttor'!D121</f>
        <v>0</v>
      </c>
      <c r="E14" s="68">
        <f>'Räkna på nyttor'!D122</f>
        <v>0</v>
      </c>
      <c r="F14" s="69">
        <f>'Räkna på nyttor'!J135/F5</f>
        <v>0</v>
      </c>
      <c r="G14" s="69">
        <f>'Räkna på nyttor'!K135/G5</f>
        <v>0</v>
      </c>
      <c r="H14" s="69">
        <f>'Räkna på nyttor'!L135/H5</f>
        <v>0</v>
      </c>
      <c r="I14" s="69">
        <f>'Räkna på nyttor'!M135/I5</f>
        <v>0</v>
      </c>
      <c r="J14" s="69">
        <f>'Räkna på nyttor'!N135/J5</f>
        <v>0</v>
      </c>
      <c r="K14" s="69">
        <f>'Räkna på nyttor'!O135/K5</f>
        <v>0</v>
      </c>
      <c r="L14" s="164">
        <f>SUM(Nyttor[[#This Row],[Troligt år 1]:[Troligt år 6]])</f>
        <v>0</v>
      </c>
      <c r="M14" s="165" t="str">
        <f t="shared" si="0"/>
        <v/>
      </c>
      <c r="N14" s="69">
        <f>'Räkna på nyttor'!$J$136/F5</f>
        <v>0</v>
      </c>
      <c r="O14" s="69">
        <f>'Räkna på nyttor'!$K$136/G5</f>
        <v>0</v>
      </c>
      <c r="P14" s="69">
        <f>'Räkna på nyttor'!$L$136/H5</f>
        <v>0</v>
      </c>
      <c r="Q14" s="69">
        <f>'Räkna på nyttor'!$M$136/I5</f>
        <v>0</v>
      </c>
      <c r="R14" s="69">
        <f>'Räkna på nyttor'!$N$136/J5</f>
        <v>0</v>
      </c>
      <c r="S14" s="69">
        <f>'Räkna på nyttor'!$O$136/K5</f>
        <v>0</v>
      </c>
      <c r="T14" s="164">
        <f>SUM(Nyttor[[#This Row],[Min år 1]:[Min år 6]])</f>
        <v>0</v>
      </c>
      <c r="U14" s="69">
        <f>'Räkna på nyttor'!$J$137/F5</f>
        <v>0</v>
      </c>
      <c r="V14" s="69">
        <f>'Räkna på nyttor'!$K$137/G5</f>
        <v>0</v>
      </c>
      <c r="W14" s="69">
        <f>'Räkna på nyttor'!$L$137/H5</f>
        <v>0</v>
      </c>
      <c r="X14" s="69">
        <f>'Räkna på nyttor'!$M$137/I5</f>
        <v>0</v>
      </c>
      <c r="Y14" s="69">
        <f>'Räkna på nyttor'!$N$137/J5</f>
        <v>0</v>
      </c>
      <c r="Z14" s="69">
        <f>'Räkna på nyttor'!$O$137/K5</f>
        <v>0</v>
      </c>
      <c r="AA14" s="163">
        <f>SUM(Nyttor[[#This Row],[Max år 1]:[Max år 6]])</f>
        <v>0</v>
      </c>
      <c r="AB14" s="13"/>
    </row>
    <row r="15" spans="1:28" x14ac:dyDescent="0.2">
      <c r="B15" s="162">
        <v>7</v>
      </c>
      <c r="C15" s="69">
        <f>'Räkna på nyttor'!D143</f>
        <v>0</v>
      </c>
      <c r="D15" s="70">
        <f>'Räkna på nyttor'!D144</f>
        <v>0</v>
      </c>
      <c r="E15" s="68">
        <f>'Räkna på nyttor'!D145</f>
        <v>0</v>
      </c>
      <c r="F15" s="69">
        <f>'Räkna på nyttor'!J158/F5</f>
        <v>0</v>
      </c>
      <c r="G15" s="69">
        <f>'Räkna på nyttor'!K158/G5</f>
        <v>0</v>
      </c>
      <c r="H15" s="69">
        <f>'Räkna på nyttor'!L158/H5</f>
        <v>0</v>
      </c>
      <c r="I15" s="69">
        <f>'Räkna på nyttor'!M158/I5</f>
        <v>0</v>
      </c>
      <c r="J15" s="69">
        <f>'Räkna på nyttor'!N158/J5</f>
        <v>0</v>
      </c>
      <c r="K15" s="69">
        <f>'Räkna på nyttor'!O158/K5</f>
        <v>0</v>
      </c>
      <c r="L15" s="164">
        <f>SUM(Nyttor[[#This Row],[Troligt år 1]:[Troligt år 6]])</f>
        <v>0</v>
      </c>
      <c r="M15" s="165" t="str">
        <f t="shared" si="0"/>
        <v/>
      </c>
      <c r="N15" s="69">
        <f>'Räkna på nyttor'!$J$159/F5</f>
        <v>0</v>
      </c>
      <c r="O15" s="69">
        <f>'Räkna på nyttor'!$K$159/G5</f>
        <v>0</v>
      </c>
      <c r="P15" s="69">
        <f>'Räkna på nyttor'!$L$159/H5</f>
        <v>0</v>
      </c>
      <c r="Q15" s="69">
        <f>'Räkna på nyttor'!$M$159/I5</f>
        <v>0</v>
      </c>
      <c r="R15" s="69">
        <f>'Räkna på nyttor'!$N$159/J5</f>
        <v>0</v>
      </c>
      <c r="S15" s="69">
        <f>'Räkna på nyttor'!$O$159/K5</f>
        <v>0</v>
      </c>
      <c r="T15" s="164">
        <f>SUM(Nyttor[[#This Row],[Min år 1]:[Min år 6]])</f>
        <v>0</v>
      </c>
      <c r="U15" s="69">
        <f>'Räkna på nyttor'!$J$160/F5</f>
        <v>0</v>
      </c>
      <c r="V15" s="69">
        <f>'Räkna på nyttor'!$K$160/G5</f>
        <v>0</v>
      </c>
      <c r="W15" s="69">
        <f>'Räkna på nyttor'!$L$160/H5</f>
        <v>0</v>
      </c>
      <c r="X15" s="69">
        <f>'Räkna på nyttor'!$M$160/I5</f>
        <v>0</v>
      </c>
      <c r="Y15" s="69">
        <f>'Räkna på nyttor'!$N$160/J5</f>
        <v>0</v>
      </c>
      <c r="Z15" s="69">
        <f>'Räkna på nyttor'!$O$160/K5</f>
        <v>0</v>
      </c>
      <c r="AA15" s="163">
        <f>SUM(Nyttor[[#This Row],[Max år 1]:[Max år 6]])</f>
        <v>0</v>
      </c>
      <c r="AB15" s="13"/>
    </row>
    <row r="16" spans="1:28" x14ac:dyDescent="0.2">
      <c r="B16" s="166">
        <v>8</v>
      </c>
      <c r="C16" s="69">
        <f>'Räkna på nyttor'!D166</f>
        <v>0</v>
      </c>
      <c r="D16" s="70">
        <f>'Räkna på nyttor'!D167</f>
        <v>0</v>
      </c>
      <c r="E16" s="68">
        <f>'Räkna på nyttor'!D168</f>
        <v>0</v>
      </c>
      <c r="F16" s="69">
        <f>'Räkna på nyttor'!J181/F5</f>
        <v>0</v>
      </c>
      <c r="G16" s="69">
        <f>'Räkna på nyttor'!K181/G5</f>
        <v>0</v>
      </c>
      <c r="H16" s="69">
        <f>'Räkna på nyttor'!L181/H5</f>
        <v>0</v>
      </c>
      <c r="I16" s="69">
        <f>'Räkna på nyttor'!M181/I5</f>
        <v>0</v>
      </c>
      <c r="J16" s="69">
        <f>'Räkna på nyttor'!N181/J5</f>
        <v>0</v>
      </c>
      <c r="K16" s="69">
        <f>'Räkna på nyttor'!O181/K5</f>
        <v>0</v>
      </c>
      <c r="L16" s="164">
        <f>SUM(Nyttor[[#This Row],[Troligt år 1]:[Troligt år 6]])</f>
        <v>0</v>
      </c>
      <c r="M16" s="165" t="str">
        <f t="shared" si="0"/>
        <v/>
      </c>
      <c r="N16" s="69">
        <f>'Räkna på nyttor'!$J$182/F5</f>
        <v>0</v>
      </c>
      <c r="O16" s="69">
        <f>'Räkna på nyttor'!$K$182/G5</f>
        <v>0</v>
      </c>
      <c r="P16" s="69">
        <f>'Räkna på nyttor'!$L$182/H5</f>
        <v>0</v>
      </c>
      <c r="Q16" s="69">
        <f>'Räkna på nyttor'!$M$182/I5</f>
        <v>0</v>
      </c>
      <c r="R16" s="69">
        <f>'Räkna på nyttor'!$N$182/J5</f>
        <v>0</v>
      </c>
      <c r="S16" s="69">
        <f>'Räkna på nyttor'!$O$182/K5</f>
        <v>0</v>
      </c>
      <c r="T16" s="164">
        <f>SUM(Nyttor[[#This Row],[Min år 1]:[Min år 6]])</f>
        <v>0</v>
      </c>
      <c r="U16" s="69">
        <f>'Räkna på nyttor'!$J$183/F5</f>
        <v>0</v>
      </c>
      <c r="V16" s="69">
        <f>'Räkna på nyttor'!$K$183/G5</f>
        <v>0</v>
      </c>
      <c r="W16" s="69">
        <f>'Räkna på nyttor'!$L$183/H5</f>
        <v>0</v>
      </c>
      <c r="X16" s="69">
        <f>'Räkna på nyttor'!$M$183/I5</f>
        <v>0</v>
      </c>
      <c r="Y16" s="69">
        <f>'Räkna på nyttor'!$N$183/J5</f>
        <v>0</v>
      </c>
      <c r="Z16" s="69">
        <f>'Räkna på nyttor'!$O$183/K5</f>
        <v>0</v>
      </c>
      <c r="AA16" s="163">
        <f>SUM(Nyttor[[#This Row],[Max år 1]:[Max år 6]])</f>
        <v>0</v>
      </c>
      <c r="AB16" s="13"/>
    </row>
    <row r="17" spans="2:28" x14ac:dyDescent="0.2">
      <c r="B17" s="162">
        <v>9</v>
      </c>
      <c r="C17" s="69">
        <f>'Räkna på nyttor'!D189</f>
        <v>0</v>
      </c>
      <c r="D17" s="70">
        <f>'Räkna på nyttor'!D190</f>
        <v>0</v>
      </c>
      <c r="E17" s="68">
        <f>'Räkna på nyttor'!D191</f>
        <v>0</v>
      </c>
      <c r="F17" s="69">
        <f>'Räkna på nyttor'!J204/F5</f>
        <v>0</v>
      </c>
      <c r="G17" s="69">
        <f>'Räkna på nyttor'!K204/G5</f>
        <v>0</v>
      </c>
      <c r="H17" s="69">
        <f>'Räkna på nyttor'!L204/H5</f>
        <v>0</v>
      </c>
      <c r="I17" s="69">
        <f>'Räkna på nyttor'!M204/I5</f>
        <v>0</v>
      </c>
      <c r="J17" s="69">
        <f>'Räkna på nyttor'!N204/J5</f>
        <v>0</v>
      </c>
      <c r="K17" s="69">
        <f>'Räkna på nyttor'!O204/K5</f>
        <v>0</v>
      </c>
      <c r="L17" s="164">
        <f>SUM(Nyttor[[#This Row],[Troligt år 1]:[Troligt år 6]])</f>
        <v>0</v>
      </c>
      <c r="M17" s="165" t="str">
        <f t="shared" si="0"/>
        <v/>
      </c>
      <c r="N17" s="69">
        <f>'Räkna på nyttor'!$J$205/F5</f>
        <v>0</v>
      </c>
      <c r="O17" s="69">
        <f>'Räkna på nyttor'!$K$205/G5</f>
        <v>0</v>
      </c>
      <c r="P17" s="69">
        <f>'Räkna på nyttor'!$L$205/H5</f>
        <v>0</v>
      </c>
      <c r="Q17" s="69">
        <f>'Räkna på nyttor'!$M$205/I5</f>
        <v>0</v>
      </c>
      <c r="R17" s="69">
        <f>'Räkna på nyttor'!$N$205/J5</f>
        <v>0</v>
      </c>
      <c r="S17" s="69">
        <f>'Räkna på nyttor'!$O$205/K5</f>
        <v>0</v>
      </c>
      <c r="T17" s="164">
        <f>SUM(Nyttor[[#This Row],[Min år 1]:[Min år 6]])</f>
        <v>0</v>
      </c>
      <c r="U17" s="69">
        <f>'Räkna på nyttor'!$J$206/F5</f>
        <v>0</v>
      </c>
      <c r="V17" s="69">
        <f>'Räkna på nyttor'!$K$206/G5</f>
        <v>0</v>
      </c>
      <c r="W17" s="69">
        <f>'Räkna på nyttor'!$L$206/H5</f>
        <v>0</v>
      </c>
      <c r="X17" s="69">
        <f>'Räkna på nyttor'!$M$206/I5</f>
        <v>0</v>
      </c>
      <c r="Y17" s="69">
        <f>'Räkna på nyttor'!$N$206/J5</f>
        <v>0</v>
      </c>
      <c r="Z17" s="69">
        <f>'Räkna på nyttor'!$O$206/K5</f>
        <v>0</v>
      </c>
      <c r="AA17" s="163">
        <f>SUM(Nyttor[[#This Row],[Max år 1]:[Max år 6]])</f>
        <v>0</v>
      </c>
      <c r="AB17" s="13"/>
    </row>
    <row r="18" spans="2:28" x14ac:dyDescent="0.2">
      <c r="B18" s="166">
        <v>10</v>
      </c>
      <c r="C18" s="69">
        <f>'Räkna på nyttor'!D212</f>
        <v>0</v>
      </c>
      <c r="D18" s="70">
        <f>'Räkna på nyttor'!D213</f>
        <v>0</v>
      </c>
      <c r="E18" s="68">
        <f>'Räkna på nyttor'!D214</f>
        <v>0</v>
      </c>
      <c r="F18" s="69">
        <f>'Räkna på nyttor'!J227/F5</f>
        <v>0</v>
      </c>
      <c r="G18" s="69">
        <f>'Räkna på nyttor'!K227/G5</f>
        <v>0</v>
      </c>
      <c r="H18" s="69">
        <f>'Räkna på nyttor'!L227/H5</f>
        <v>0</v>
      </c>
      <c r="I18" s="69">
        <f>'Räkna på nyttor'!M227/I5</f>
        <v>0</v>
      </c>
      <c r="J18" s="69">
        <f>'Räkna på nyttor'!N227/J5</f>
        <v>0</v>
      </c>
      <c r="K18" s="69">
        <f>'Räkna på nyttor'!O227/K5</f>
        <v>0</v>
      </c>
      <c r="L18" s="164">
        <f>SUM(Nyttor[[#This Row],[Troligt år 1]:[Troligt år 6]])</f>
        <v>0</v>
      </c>
      <c r="M18" s="165" t="str">
        <f t="shared" si="0"/>
        <v/>
      </c>
      <c r="N18" s="69">
        <f>'Räkna på nyttor'!$J$228/F5</f>
        <v>0</v>
      </c>
      <c r="O18" s="69">
        <f>'Räkna på nyttor'!$K$228/G5</f>
        <v>0</v>
      </c>
      <c r="P18" s="69">
        <f>'Räkna på nyttor'!$L$228/H5</f>
        <v>0</v>
      </c>
      <c r="Q18" s="69">
        <f>'Räkna på nyttor'!$M$228/I5</f>
        <v>0</v>
      </c>
      <c r="R18" s="69">
        <f>'Räkna på nyttor'!$N$228/J5</f>
        <v>0</v>
      </c>
      <c r="S18" s="69">
        <f>'Räkna på nyttor'!$O$228/K5</f>
        <v>0</v>
      </c>
      <c r="T18" s="164">
        <f>SUM(Nyttor[[#This Row],[Min år 1]:[Min år 6]])</f>
        <v>0</v>
      </c>
      <c r="U18" s="69">
        <f>'Räkna på nyttor'!$J$229/F5</f>
        <v>0</v>
      </c>
      <c r="V18" s="69">
        <f>'Räkna på nyttor'!$K$229/G5</f>
        <v>0</v>
      </c>
      <c r="W18" s="69">
        <f>'Räkna på nyttor'!$L$229/H5</f>
        <v>0</v>
      </c>
      <c r="X18" s="69">
        <f>'Räkna på nyttor'!$M$229/I5</f>
        <v>0</v>
      </c>
      <c r="Y18" s="69">
        <f>'Räkna på nyttor'!$N$229/J5</f>
        <v>0</v>
      </c>
      <c r="Z18" s="69">
        <f>'Räkna på nyttor'!$O$229/K5</f>
        <v>0</v>
      </c>
      <c r="AA18" s="163">
        <f>SUM(Nyttor[[#This Row],[Max år 1]:[Max år 6]])</f>
        <v>0</v>
      </c>
      <c r="AB18" s="13"/>
    </row>
    <row r="19" spans="2:28" x14ac:dyDescent="0.2">
      <c r="B19" s="162">
        <v>11</v>
      </c>
      <c r="C19" s="69">
        <f>'Räkna på nyttor'!D235</f>
        <v>0</v>
      </c>
      <c r="D19" s="70">
        <f>'Räkna på nyttor'!D236</f>
        <v>0</v>
      </c>
      <c r="E19" s="68">
        <f>'Räkna på nyttor'!D237</f>
        <v>0</v>
      </c>
      <c r="F19" s="69">
        <f>'Räkna på nyttor'!J250/F5</f>
        <v>0</v>
      </c>
      <c r="G19" s="69">
        <f>'Räkna på nyttor'!K250/G5</f>
        <v>0</v>
      </c>
      <c r="H19" s="69">
        <f>'Räkna på nyttor'!L250/H5</f>
        <v>0</v>
      </c>
      <c r="I19" s="69">
        <f>'Räkna på nyttor'!M250/I5</f>
        <v>0</v>
      </c>
      <c r="J19" s="69">
        <f>'Räkna på nyttor'!N250/J5</f>
        <v>0</v>
      </c>
      <c r="K19" s="69">
        <f>'Räkna på nyttor'!O250/K5</f>
        <v>0</v>
      </c>
      <c r="L19" s="164">
        <f>SUM(Nyttor[[#This Row],[Troligt år 1]:[Troligt år 6]])</f>
        <v>0</v>
      </c>
      <c r="M19" s="165" t="str">
        <f t="shared" si="0"/>
        <v/>
      </c>
      <c r="N19" s="69">
        <f>'Räkna på nyttor'!$J$251/F5</f>
        <v>0</v>
      </c>
      <c r="O19" s="69">
        <f>'Räkna på nyttor'!$K$251/G5</f>
        <v>0</v>
      </c>
      <c r="P19" s="69">
        <f>'Räkna på nyttor'!$L$251/H5</f>
        <v>0</v>
      </c>
      <c r="Q19" s="69">
        <f>'Räkna på nyttor'!$M$251/I5</f>
        <v>0</v>
      </c>
      <c r="R19" s="69">
        <f>'Räkna på nyttor'!$N$251/J5</f>
        <v>0</v>
      </c>
      <c r="S19" s="69">
        <f>'Räkna på nyttor'!$O$251/K5</f>
        <v>0</v>
      </c>
      <c r="T19" s="164">
        <f>SUM(Nyttor[[#This Row],[Min år 1]:[Min år 6]])</f>
        <v>0</v>
      </c>
      <c r="U19" s="69">
        <f>'Räkna på nyttor'!$J$252/F5</f>
        <v>0</v>
      </c>
      <c r="V19" s="69">
        <f>'Räkna på nyttor'!$K$252/G5</f>
        <v>0</v>
      </c>
      <c r="W19" s="69">
        <f>'Räkna på nyttor'!$L$252/H5</f>
        <v>0</v>
      </c>
      <c r="X19" s="69">
        <f>'Räkna på nyttor'!$M$252/I5</f>
        <v>0</v>
      </c>
      <c r="Y19" s="69">
        <f>'Räkna på nyttor'!$N$252/J5</f>
        <v>0</v>
      </c>
      <c r="Z19" s="69">
        <f>'Räkna på nyttor'!$O$252/K5</f>
        <v>0</v>
      </c>
      <c r="AA19" s="163">
        <f>SUM(Nyttor[[#This Row],[Max år 1]:[Max år 6]])</f>
        <v>0</v>
      </c>
      <c r="AB19" s="13"/>
    </row>
    <row r="20" spans="2:28" x14ac:dyDescent="0.2">
      <c r="B20" s="166">
        <v>12</v>
      </c>
      <c r="C20" s="69">
        <f>'Räkna på nyttor'!D258</f>
        <v>0</v>
      </c>
      <c r="D20" s="70">
        <f>'Räkna på nyttor'!D259</f>
        <v>0</v>
      </c>
      <c r="E20" s="68">
        <f>'Räkna på nyttor'!D260</f>
        <v>0</v>
      </c>
      <c r="F20" s="69">
        <f>'Räkna på nyttor'!J273/F5</f>
        <v>0</v>
      </c>
      <c r="G20" s="69">
        <f>'Räkna på nyttor'!K273/G5</f>
        <v>0</v>
      </c>
      <c r="H20" s="69">
        <f>'Räkna på nyttor'!L273/H5</f>
        <v>0</v>
      </c>
      <c r="I20" s="69">
        <f>'Räkna på nyttor'!M273/I5</f>
        <v>0</v>
      </c>
      <c r="J20" s="69">
        <f>'Räkna på nyttor'!N273/J5</f>
        <v>0</v>
      </c>
      <c r="K20" s="69">
        <f>'Räkna på nyttor'!O273/K5</f>
        <v>0</v>
      </c>
      <c r="L20" s="164">
        <f>SUM(Nyttor[[#This Row],[Troligt år 1]:[Troligt år 6]])</f>
        <v>0</v>
      </c>
      <c r="M20" s="165" t="str">
        <f t="shared" si="0"/>
        <v/>
      </c>
      <c r="N20" s="69">
        <f>'Räkna på nyttor'!$J$274/F5</f>
        <v>0</v>
      </c>
      <c r="O20" s="69">
        <f>'Räkna på nyttor'!$K$274/G5</f>
        <v>0</v>
      </c>
      <c r="P20" s="69">
        <f>'Räkna på nyttor'!$L$274/H5</f>
        <v>0</v>
      </c>
      <c r="Q20" s="69">
        <f>'Räkna på nyttor'!$M$274/I5</f>
        <v>0</v>
      </c>
      <c r="R20" s="69">
        <f>'Räkna på nyttor'!$N$274/J5</f>
        <v>0</v>
      </c>
      <c r="S20" s="69">
        <f>'Räkna på nyttor'!$O$274/K5</f>
        <v>0</v>
      </c>
      <c r="T20" s="164">
        <f>SUM(Nyttor[[#This Row],[Min år 1]:[Min år 6]])</f>
        <v>0</v>
      </c>
      <c r="U20" s="69">
        <f>'Räkna på nyttor'!$J$275/F5</f>
        <v>0</v>
      </c>
      <c r="V20" s="69">
        <f>'Räkna på nyttor'!$K$275/G5</f>
        <v>0</v>
      </c>
      <c r="W20" s="69">
        <f>'Räkna på nyttor'!$L$275/H5</f>
        <v>0</v>
      </c>
      <c r="X20" s="69">
        <f>'Räkna på nyttor'!$M$275/I5</f>
        <v>0</v>
      </c>
      <c r="Y20" s="69">
        <f>'Räkna på nyttor'!$N$275/J5</f>
        <v>0</v>
      </c>
      <c r="Z20" s="69">
        <f>'Räkna på nyttor'!$O$275/K5</f>
        <v>0</v>
      </c>
      <c r="AA20" s="163">
        <f>SUM(Nyttor[[#This Row],[Max år 1]:[Max år 6]])</f>
        <v>0</v>
      </c>
      <c r="AB20" s="13"/>
    </row>
    <row r="21" spans="2:28" x14ac:dyDescent="0.2">
      <c r="B21" s="162">
        <v>13</v>
      </c>
      <c r="C21" s="69">
        <f>'Räkna på nyttor'!D281</f>
        <v>0</v>
      </c>
      <c r="D21" s="70">
        <f>'Räkna på nyttor'!D282</f>
        <v>0</v>
      </c>
      <c r="E21" s="68">
        <f>'Räkna på nyttor'!D283</f>
        <v>0</v>
      </c>
      <c r="F21" s="69">
        <f>'Räkna på nyttor'!J296/F5</f>
        <v>0</v>
      </c>
      <c r="G21" s="69">
        <f>'Räkna på nyttor'!K296/G5</f>
        <v>0</v>
      </c>
      <c r="H21" s="69">
        <f>'Räkna på nyttor'!L296/H5</f>
        <v>0</v>
      </c>
      <c r="I21" s="69">
        <f>'Räkna på nyttor'!M296/I5</f>
        <v>0</v>
      </c>
      <c r="J21" s="69">
        <f>'Räkna på nyttor'!N296/J5</f>
        <v>0</v>
      </c>
      <c r="K21" s="69">
        <f>'Räkna på nyttor'!O296/K5</f>
        <v>0</v>
      </c>
      <c r="L21" s="164">
        <f>SUM(Nyttor[[#This Row],[Troligt år 1]:[Troligt år 6]])</f>
        <v>0</v>
      </c>
      <c r="M21" s="165" t="str">
        <f t="shared" si="0"/>
        <v/>
      </c>
      <c r="N21" s="69">
        <f>'Räkna på nyttor'!$J$297/F5</f>
        <v>0</v>
      </c>
      <c r="O21" s="69">
        <f>'Räkna på nyttor'!$K$297/G5</f>
        <v>0</v>
      </c>
      <c r="P21" s="69">
        <f>'Räkna på nyttor'!$L$297/H5</f>
        <v>0</v>
      </c>
      <c r="Q21" s="69">
        <f>'Räkna på nyttor'!$M$297/I5</f>
        <v>0</v>
      </c>
      <c r="R21" s="69">
        <f>'Räkna på nyttor'!$N$297/J5</f>
        <v>0</v>
      </c>
      <c r="S21" s="69">
        <f>'Räkna på nyttor'!$O$297/K5</f>
        <v>0</v>
      </c>
      <c r="T21" s="164">
        <f>SUM(Nyttor[[#This Row],[Min år 1]:[Min år 6]])</f>
        <v>0</v>
      </c>
      <c r="U21" s="69">
        <f>'Räkna på nyttor'!$J$298/F5</f>
        <v>0</v>
      </c>
      <c r="V21" s="69">
        <f>'Räkna på nyttor'!$K$298/G5</f>
        <v>0</v>
      </c>
      <c r="W21" s="69">
        <f>'Räkna på nyttor'!$L$298/H5</f>
        <v>0</v>
      </c>
      <c r="X21" s="69">
        <f>'Räkna på nyttor'!$M$298/I5</f>
        <v>0</v>
      </c>
      <c r="Y21" s="69">
        <f>'Räkna på nyttor'!$N$298/J5</f>
        <v>0</v>
      </c>
      <c r="Z21" s="69">
        <f>'Räkna på nyttor'!$O$298/K5</f>
        <v>0</v>
      </c>
      <c r="AA21" s="163">
        <f>SUM(Nyttor[[#This Row],[Max år 1]:[Max år 6]])</f>
        <v>0</v>
      </c>
      <c r="AB21" s="13"/>
    </row>
    <row r="22" spans="2:28" x14ac:dyDescent="0.2">
      <c r="B22" s="166">
        <v>14</v>
      </c>
      <c r="C22" s="69">
        <f>'Räkna på nyttor'!D304</f>
        <v>0</v>
      </c>
      <c r="D22" s="70">
        <f>'Räkna på nyttor'!D305</f>
        <v>0</v>
      </c>
      <c r="E22" s="68">
        <f>'Räkna på nyttor'!D306</f>
        <v>0</v>
      </c>
      <c r="F22" s="69">
        <f>'Räkna på nyttor'!J319/F5</f>
        <v>0</v>
      </c>
      <c r="G22" s="69">
        <f>'Räkna på nyttor'!K319/G5</f>
        <v>0</v>
      </c>
      <c r="H22" s="69">
        <f>'Räkna på nyttor'!L319/H5</f>
        <v>0</v>
      </c>
      <c r="I22" s="69">
        <f>'Räkna på nyttor'!M319/I5</f>
        <v>0</v>
      </c>
      <c r="J22" s="69">
        <f>'Räkna på nyttor'!N319/J5</f>
        <v>0</v>
      </c>
      <c r="K22" s="69">
        <f>'Räkna på nyttor'!O319/K5</f>
        <v>0</v>
      </c>
      <c r="L22" s="164">
        <f>SUM(Nyttor[[#This Row],[Troligt år 1]:[Troligt år 6]])</f>
        <v>0</v>
      </c>
      <c r="M22" s="165" t="str">
        <f t="shared" si="0"/>
        <v/>
      </c>
      <c r="N22" s="69">
        <f>'Räkna på nyttor'!$J$320/F5</f>
        <v>0</v>
      </c>
      <c r="O22" s="69">
        <f>'Räkna på nyttor'!$K$320/G5</f>
        <v>0</v>
      </c>
      <c r="P22" s="69">
        <f>'Räkna på nyttor'!$L$320/H5</f>
        <v>0</v>
      </c>
      <c r="Q22" s="69">
        <f>'Räkna på nyttor'!$M$320/I5</f>
        <v>0</v>
      </c>
      <c r="R22" s="69">
        <f>'Räkna på nyttor'!$N$320/J5</f>
        <v>0</v>
      </c>
      <c r="S22" s="69">
        <f>'Räkna på nyttor'!$O$320/K5</f>
        <v>0</v>
      </c>
      <c r="T22" s="164">
        <f>SUM(Nyttor[[#This Row],[Min år 1]:[Min år 6]])</f>
        <v>0</v>
      </c>
      <c r="U22" s="69">
        <f>'Räkna på nyttor'!$J$321/F5</f>
        <v>0</v>
      </c>
      <c r="V22" s="69">
        <f>'Räkna på nyttor'!$K$321/G5</f>
        <v>0</v>
      </c>
      <c r="W22" s="69">
        <f>'Räkna på nyttor'!$L$321/H5</f>
        <v>0</v>
      </c>
      <c r="X22" s="69">
        <f>'Räkna på nyttor'!$M$321/I5</f>
        <v>0</v>
      </c>
      <c r="Y22" s="69">
        <f>'Räkna på nyttor'!$N$321/J5</f>
        <v>0</v>
      </c>
      <c r="Z22" s="69">
        <f>'Räkna på nyttor'!$O$321/K5</f>
        <v>0</v>
      </c>
      <c r="AA22" s="163">
        <f>SUM(Nyttor[[#This Row],[Max år 1]:[Max år 6]])</f>
        <v>0</v>
      </c>
      <c r="AB22" s="13"/>
    </row>
    <row r="23" spans="2:28" ht="13.5" thickBot="1" x14ac:dyDescent="0.25">
      <c r="B23" s="162">
        <v>15</v>
      </c>
      <c r="C23" s="69">
        <f>'Räkna på nyttor'!D327</f>
        <v>0</v>
      </c>
      <c r="D23" s="70">
        <f>'Räkna på nyttor'!D328</f>
        <v>0</v>
      </c>
      <c r="E23" s="68">
        <f>'Räkna på nyttor'!D329</f>
        <v>0</v>
      </c>
      <c r="F23" s="69">
        <f>'Räkna på nyttor'!J342/F5</f>
        <v>0</v>
      </c>
      <c r="G23" s="69">
        <f>'Räkna på nyttor'!K342/G5</f>
        <v>0</v>
      </c>
      <c r="H23" s="69">
        <f>'Räkna på nyttor'!L342/H5</f>
        <v>0</v>
      </c>
      <c r="I23" s="69">
        <f>'Räkna på nyttor'!M342/I5</f>
        <v>0</v>
      </c>
      <c r="J23" s="69">
        <f>'Räkna på nyttor'!N342/J5</f>
        <v>0</v>
      </c>
      <c r="K23" s="69">
        <f>'Räkna på nyttor'!O342/K5</f>
        <v>0</v>
      </c>
      <c r="L23" s="164">
        <f>SUM(Nyttor[[#This Row],[Troligt år 1]:[Troligt år 6]])</f>
        <v>0</v>
      </c>
      <c r="M23" s="165" t="str">
        <f t="shared" si="0"/>
        <v/>
      </c>
      <c r="N23" s="69">
        <f>'Räkna på nyttor'!$J$343/F5</f>
        <v>0</v>
      </c>
      <c r="O23" s="69">
        <f>'Räkna på nyttor'!$K$343/G5</f>
        <v>0</v>
      </c>
      <c r="P23" s="69">
        <f>'Räkna på nyttor'!$L$343/H5</f>
        <v>0</v>
      </c>
      <c r="Q23" s="69">
        <f>'Räkna på nyttor'!$M$343/I5</f>
        <v>0</v>
      </c>
      <c r="R23" s="69">
        <f>'Räkna på nyttor'!$N$343/J5</f>
        <v>0</v>
      </c>
      <c r="S23" s="69">
        <f>'Räkna på nyttor'!$O$343/K5</f>
        <v>0</v>
      </c>
      <c r="T23" s="164">
        <f>SUM(Nyttor[[#This Row],[Min år 1]:[Min år 6]])</f>
        <v>0</v>
      </c>
      <c r="U23" s="69">
        <f>'Räkna på nyttor'!$J$344/F5</f>
        <v>0</v>
      </c>
      <c r="V23" s="69">
        <f>'Räkna på nyttor'!$K$344/G5</f>
        <v>0</v>
      </c>
      <c r="W23" s="69">
        <f>'Räkna på nyttor'!$L$344/H5</f>
        <v>0</v>
      </c>
      <c r="X23" s="69">
        <f>'Räkna på nyttor'!$M$344/I5</f>
        <v>0</v>
      </c>
      <c r="Y23" s="69">
        <f>'Räkna på nyttor'!$N$344/J5</f>
        <v>0</v>
      </c>
      <c r="Z23" s="69">
        <f>'Räkna på nyttor'!$O$344/K5</f>
        <v>0</v>
      </c>
      <c r="AA23" s="163">
        <f>SUM(Nyttor[[#This Row],[Max år 1]:[Max år 6]])</f>
        <v>0</v>
      </c>
      <c r="AB23" s="13"/>
    </row>
    <row r="24" spans="2:28" ht="13.5" thickTop="1" x14ac:dyDescent="0.2">
      <c r="B24" s="71" t="s">
        <v>10</v>
      </c>
      <c r="C24" s="64"/>
      <c r="D24" s="64"/>
      <c r="E24" s="64"/>
      <c r="F24" s="64">
        <f>SUM(Nyttor[Troligt år 1])</f>
        <v>0</v>
      </c>
      <c r="G24" s="64">
        <f>SUM(Nyttor[Troligt år 2])</f>
        <v>9507669.9029126205</v>
      </c>
      <c r="H24" s="64">
        <f>SUM(Nyttor[Troligt år 3])</f>
        <v>9230747.4785559438</v>
      </c>
      <c r="I24" s="64">
        <f>SUM(Nyttor[Troligt år 4])</f>
        <v>8961890.7558795568</v>
      </c>
      <c r="J24" s="64">
        <f>SUM(Nyttor[Troligt år 5])</f>
        <v>8700864.8115335498</v>
      </c>
      <c r="K24" s="64">
        <f>SUM(Nyttor[Troligt år 6])</f>
        <v>8447441.5645956807</v>
      </c>
      <c r="L24" s="64">
        <f>SUM(Nyttor[Summa trolig])</f>
        <v>44848614.513477355</v>
      </c>
      <c r="M24" s="199">
        <f>IFERROR(AVERAGE(Nyttor[Osäkerhet]),0)</f>
        <v>0.16</v>
      </c>
      <c r="N24" s="64">
        <f>SUM(Nyttor[Min år 1])</f>
        <v>0</v>
      </c>
      <c r="O24" s="64">
        <f>SUM(Nyttor[Min år 2])</f>
        <v>1901533.9805825243</v>
      </c>
      <c r="P24" s="64">
        <f>SUM(Nyttor[Min år 3])</f>
        <v>1846149.4957111888</v>
      </c>
      <c r="Q24" s="64">
        <f>SUM(Nyttor[Min år 4])</f>
        <v>1792378.1511759113</v>
      </c>
      <c r="R24" s="64">
        <f>SUM(Nyttor[Min år 5])</f>
        <v>1740172.9623067102</v>
      </c>
      <c r="S24" s="64">
        <f>SUM(Nyttor[Min år 6])</f>
        <v>1689488.3129191361</v>
      </c>
      <c r="T24" s="64">
        <f>SUM(Nyttor[Summa min])</f>
        <v>8969722.9026954696</v>
      </c>
      <c r="U24" s="64">
        <f>SUM(Nyttor[Max år 1])</f>
        <v>0</v>
      </c>
      <c r="V24" s="64">
        <f>SUM(Nyttor[Max år 2])</f>
        <v>9507669.9029126205</v>
      </c>
      <c r="W24" s="64">
        <f>SUM(Nyttor[Max år 3])</f>
        <v>9230747.4785559438</v>
      </c>
      <c r="X24" s="64">
        <f>SUM(Nyttor[Max år 4])</f>
        <v>8961890.7558795568</v>
      </c>
      <c r="Y24" s="64">
        <f>SUM(Nyttor[Max år 5])</f>
        <v>8700864.8115335498</v>
      </c>
      <c r="Z24" s="64">
        <f>SUM(Nyttor[Max år 6])</f>
        <v>8447441.5645956807</v>
      </c>
      <c r="AA24" s="64">
        <f>SUM(Nyttor[Summa max])</f>
        <v>44848614.513477355</v>
      </c>
      <c r="AB24" s="13"/>
    </row>
    <row r="25" spans="2:28" x14ac:dyDescent="0.2">
      <c r="AB25" s="13"/>
    </row>
    <row r="26" spans="2:28" x14ac:dyDescent="0.2">
      <c r="AB26" s="13"/>
    </row>
    <row r="27" spans="2:28" x14ac:dyDescent="0.2">
      <c r="AB27" s="13"/>
    </row>
    <row r="28" spans="2:28" x14ac:dyDescent="0.2">
      <c r="L28" s="18"/>
      <c r="M28" s="18"/>
      <c r="N28" s="18"/>
      <c r="O28" s="18"/>
      <c r="P28" s="18"/>
      <c r="Q28" s="18"/>
      <c r="R28" s="18"/>
      <c r="AB28" s="13"/>
    </row>
    <row r="29" spans="2:28" x14ac:dyDescent="0.2">
      <c r="S29" s="18"/>
      <c r="T29" s="18"/>
      <c r="U29" s="18"/>
      <c r="V29" s="18"/>
      <c r="W29" s="18"/>
      <c r="X29" s="18"/>
      <c r="Y29" s="18"/>
    </row>
    <row r="34" spans="19:25" x14ac:dyDescent="0.2">
      <c r="S34" s="18"/>
      <c r="T34" s="18"/>
      <c r="U34" s="18"/>
      <c r="V34" s="18"/>
      <c r="W34" s="18"/>
      <c r="X34" s="18"/>
      <c r="Y34" s="18"/>
    </row>
  </sheetData>
  <sheetProtection sheet="1" objects="1" scenarios="1"/>
  <mergeCells count="1">
    <mergeCell ref="B1:D1"/>
  </mergeCells>
  <phoneticPr fontId="7" type="noConversion"/>
  <conditionalFormatting sqref="E9">
    <cfRule type="containsText" dxfId="289" priority="55" operator="containsText" text="3">
      <formula>NOT(ISERROR(SEARCH("3",E9)))</formula>
    </cfRule>
  </conditionalFormatting>
  <conditionalFormatting sqref="E10:E23">
    <cfRule type="containsText" dxfId="288" priority="52" operator="containsText" text="3">
      <formula>NOT(ISERROR(SEARCH("3",E10)))</formula>
    </cfRule>
  </conditionalFormatting>
  <pageMargins left="0.7" right="0.7" top="0.75" bottom="0.75" header="0.3" footer="0.3"/>
  <pageSetup paperSize="9" orientation="landscape"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54" operator="containsText" id="{86E578A5-AF3E-4C6F-B3AA-A5BF8829A34E}">
            <xm:f>NOT(ISERROR(SEARCH(2,E9)))</xm:f>
            <xm:f>2</xm:f>
            <x14:dxf>
              <font>
                <color auto="1"/>
              </font>
              <fill>
                <patternFill>
                  <bgColor theme="8"/>
                </patternFill>
              </fill>
            </x14:dxf>
          </x14:cfRule>
          <x14:cfRule type="containsText" priority="56" operator="containsText" id="{F0C511E0-F2D1-4933-BB49-415ECB5C304E}">
            <xm:f>NOT(ISERROR(SEARCH(1,E9)))</xm:f>
            <xm:f>1</xm:f>
            <x14:dxf>
              <font>
                <color auto="1"/>
              </font>
              <fill>
                <patternFill>
                  <bgColor theme="8" tint="-0.24994659260841701"/>
                </patternFill>
              </fill>
            </x14:dxf>
          </x14:cfRule>
          <xm:sqref>E9</xm:sqref>
        </x14:conditionalFormatting>
        <x14:conditionalFormatting xmlns:xm="http://schemas.microsoft.com/office/excel/2006/main">
          <x14:cfRule type="containsText" priority="51" operator="containsText" id="{92753A0A-9E7F-49E2-9C51-E0DC006DD258}">
            <xm:f>NOT(ISERROR(SEARCH(2,E10)))</xm:f>
            <xm:f>2</xm:f>
            <x14:dxf>
              <font>
                <color auto="1"/>
              </font>
              <fill>
                <patternFill>
                  <bgColor theme="8"/>
                </patternFill>
              </fill>
            </x14:dxf>
          </x14:cfRule>
          <x14:cfRule type="containsText" priority="53" operator="containsText" id="{937B2FCE-7D5E-41F0-9826-C5CA3557E6E5}">
            <xm:f>NOT(ISERROR(SEARCH(1,E10)))</xm:f>
            <xm:f>1</xm:f>
            <x14:dxf>
              <font>
                <color auto="1"/>
              </font>
              <fill>
                <patternFill>
                  <bgColor theme="8" tint="-0.24994659260841701"/>
                </patternFill>
              </fill>
            </x14:dxf>
          </x14:cfRule>
          <xm:sqref>E10:E23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1DCC-CC00-4667-9D9A-A07E1E24A2B4}">
  <sheetPr>
    <tabColor theme="5"/>
  </sheetPr>
  <dimension ref="A1:XFA346"/>
  <sheetViews>
    <sheetView showGridLines="0" zoomScale="90" zoomScaleNormal="90" workbookViewId="0">
      <pane ySplit="2" topLeftCell="A51" activePane="bottomLeft" state="frozen"/>
      <selection activeCell="B1" sqref="B1"/>
      <selection pane="bottomLeft" activeCell="Q37" sqref="Q37"/>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6" width="15.7109375" style="33"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132"/>
      <c r="B1" s="132"/>
      <c r="C1" s="133" t="s">
        <v>62</v>
      </c>
      <c r="D1" s="134"/>
      <c r="E1" s="135"/>
      <c r="F1" s="136"/>
      <c r="G1" s="135"/>
      <c r="H1" s="135"/>
      <c r="I1" s="135"/>
      <c r="J1" s="137"/>
      <c r="K1" s="132"/>
      <c r="L1" s="138"/>
      <c r="M1" s="138"/>
      <c r="N1" s="138"/>
      <c r="O1" s="138"/>
      <c r="P1" s="138"/>
      <c r="Q1" s="138"/>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136"/>
      <c r="B2" s="136"/>
      <c r="C2" s="139" t="str">
        <f>IF(Försättsblad!C6=0,"",Försättsblad!C6)</f>
        <v>Möjlighet till elektoronisk identifiering av de som ringer 1177</v>
      </c>
      <c r="D2" s="140"/>
      <c r="E2" s="135"/>
      <c r="F2" s="132"/>
      <c r="G2" s="135"/>
      <c r="H2" s="135"/>
      <c r="I2" s="135"/>
      <c r="J2" s="137"/>
      <c r="K2" s="132"/>
      <c r="L2" s="138"/>
      <c r="M2" s="138"/>
      <c r="N2" s="141"/>
      <c r="O2" s="141"/>
      <c r="P2" s="138"/>
      <c r="Q2" s="141"/>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85"/>
      <c r="E4" s="185"/>
      <c r="F4" s="185"/>
      <c r="G4" s="185"/>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148">
        <v>1</v>
      </c>
      <c r="B5" s="41"/>
      <c r="C5" s="183" t="s">
        <v>64</v>
      </c>
      <c r="D5" s="186" t="s">
        <v>181</v>
      </c>
      <c r="E5" s="187"/>
      <c r="F5" s="188"/>
      <c r="G5" s="189"/>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148" t="s">
        <v>7</v>
      </c>
      <c r="D6" s="184" t="s">
        <v>69</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148" t="s">
        <v>22</v>
      </c>
      <c r="D7" s="151" t="s">
        <v>35</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148" t="s">
        <v>57</v>
      </c>
      <c r="D9" s="148" t="s">
        <v>54</v>
      </c>
      <c r="E9" s="148" t="s">
        <v>2</v>
      </c>
      <c r="F9" s="148" t="s">
        <v>3</v>
      </c>
      <c r="G9" s="148" t="s">
        <v>42</v>
      </c>
      <c r="Q9" s="44"/>
      <c r="R9" s="44"/>
    </row>
    <row r="10" spans="1:16381" ht="13.5" customHeight="1" x14ac:dyDescent="0.2">
      <c r="B10" s="26"/>
      <c r="C10" s="149" t="s">
        <v>181</v>
      </c>
      <c r="D10" s="149">
        <v>1400000</v>
      </c>
      <c r="E10" s="149">
        <v>1400000</v>
      </c>
      <c r="F10" s="149">
        <v>1400000</v>
      </c>
      <c r="G10" s="149" t="s">
        <v>196</v>
      </c>
      <c r="Q10" s="44"/>
      <c r="R10" s="44"/>
    </row>
    <row r="11" spans="1:16381" ht="13.5" customHeight="1" x14ac:dyDescent="0.2">
      <c r="C11" s="149" t="s">
        <v>194</v>
      </c>
      <c r="D11" s="149">
        <v>120000</v>
      </c>
      <c r="E11" s="149">
        <v>120000</v>
      </c>
      <c r="F11" s="149">
        <v>120000</v>
      </c>
      <c r="G11" s="149" t="s">
        <v>196</v>
      </c>
      <c r="H11" s="47"/>
      <c r="Q11" s="44"/>
      <c r="R11" s="44"/>
    </row>
    <row r="12" spans="1:16381" ht="13.5" customHeight="1" x14ac:dyDescent="0.2">
      <c r="C12" s="149"/>
      <c r="D12" s="149"/>
      <c r="E12" s="149"/>
      <c r="F12" s="149"/>
      <c r="G12" s="149"/>
      <c r="H12" s="47"/>
      <c r="Q12" s="44"/>
      <c r="R12" s="44"/>
    </row>
    <row r="13" spans="1:16381" ht="13.5" customHeight="1" x14ac:dyDescent="0.2">
      <c r="C13" s="149"/>
      <c r="D13" s="149"/>
      <c r="E13" s="149"/>
      <c r="F13" s="149"/>
      <c r="G13" s="149"/>
      <c r="H13" s="47"/>
      <c r="Q13" s="44"/>
      <c r="R13" s="44"/>
    </row>
    <row r="14" spans="1:16381" ht="13.5" customHeight="1" x14ac:dyDescent="0.2">
      <c r="C14" s="149"/>
      <c r="D14" s="149"/>
      <c r="E14" s="149"/>
      <c r="F14" s="149"/>
      <c r="G14" s="149"/>
      <c r="H14" s="47"/>
      <c r="Q14" s="44"/>
      <c r="R14" s="44"/>
    </row>
    <row r="15" spans="1:16381" ht="13.5" customHeight="1" x14ac:dyDescent="0.2">
      <c r="C15" s="149"/>
      <c r="D15" s="149"/>
      <c r="E15" s="149"/>
      <c r="F15" s="149"/>
      <c r="G15" s="149"/>
      <c r="H15" s="47"/>
      <c r="Q15" s="44"/>
      <c r="R15" s="44"/>
    </row>
    <row r="16" spans="1:16381" ht="13.5" customHeight="1" x14ac:dyDescent="0.2">
      <c r="C16" s="149"/>
      <c r="D16" s="149"/>
      <c r="E16" s="149"/>
      <c r="F16" s="149"/>
      <c r="G16" s="149"/>
      <c r="H16" s="47"/>
      <c r="Q16" s="44"/>
      <c r="R16" s="44"/>
    </row>
    <row r="17" spans="1:18" ht="13.5" customHeight="1" x14ac:dyDescent="0.2">
      <c r="C17" s="149"/>
      <c r="D17" s="149"/>
      <c r="E17" s="149"/>
      <c r="F17" s="149"/>
      <c r="G17" s="149"/>
      <c r="H17" s="47"/>
      <c r="Q17" s="44"/>
      <c r="R17" s="44"/>
    </row>
    <row r="18" spans="1:18" ht="13.5" customHeight="1" x14ac:dyDescent="0.2">
      <c r="C18" s="149"/>
      <c r="D18" s="149"/>
      <c r="E18" s="149"/>
      <c r="F18" s="149"/>
      <c r="G18" s="149"/>
      <c r="H18" s="47"/>
      <c r="Q18" s="44"/>
      <c r="R18" s="44"/>
    </row>
    <row r="19" spans="1:18" ht="13.5" customHeight="1" x14ac:dyDescent="0.2">
      <c r="C19" s="149"/>
      <c r="D19" s="149"/>
      <c r="E19" s="149"/>
      <c r="F19" s="149"/>
      <c r="G19" s="149"/>
      <c r="H19" s="47"/>
      <c r="I19" s="148" t="s">
        <v>56</v>
      </c>
      <c r="J19" s="148">
        <f>Startår</f>
        <v>2022</v>
      </c>
      <c r="K19" s="148">
        <f>J19+1</f>
        <v>2023</v>
      </c>
      <c r="L19" s="148">
        <f>K19+1</f>
        <v>2024</v>
      </c>
      <c r="M19" s="148">
        <f>L19+1</f>
        <v>2025</v>
      </c>
      <c r="N19" s="148">
        <f>M19+1</f>
        <v>2026</v>
      </c>
      <c r="O19" s="148">
        <f>N19+1</f>
        <v>2027</v>
      </c>
      <c r="P19" s="148" t="s">
        <v>10</v>
      </c>
      <c r="Q19" s="44"/>
      <c r="R19" s="44"/>
    </row>
    <row r="20" spans="1:18" ht="13.5" customHeight="1" thickBot="1" x14ac:dyDescent="0.25">
      <c r="C20" s="149"/>
      <c r="D20" s="149"/>
      <c r="E20" s="149"/>
      <c r="F20" s="149"/>
      <c r="G20" s="149"/>
      <c r="H20" s="47"/>
      <c r="I20" s="148" t="s">
        <v>15</v>
      </c>
      <c r="J20" s="152">
        <f>D23</f>
        <v>1400000</v>
      </c>
      <c r="K20" s="152"/>
      <c r="L20" s="152"/>
      <c r="M20" s="152"/>
      <c r="N20" s="152"/>
      <c r="O20" s="152"/>
      <c r="P20" s="154">
        <f>SUM(J20:O20)</f>
        <v>1400000</v>
      </c>
      <c r="Q20" s="44"/>
      <c r="R20" s="44"/>
    </row>
    <row r="21" spans="1:18" ht="13.5" customHeight="1" thickTop="1" thickBot="1" x14ac:dyDescent="0.25">
      <c r="C21" s="149"/>
      <c r="D21" s="149"/>
      <c r="E21" s="149"/>
      <c r="F21" s="149"/>
      <c r="G21" s="149"/>
      <c r="H21" s="47"/>
      <c r="I21" s="148" t="s">
        <v>55</v>
      </c>
      <c r="J21" s="152">
        <f>E23</f>
        <v>1400000</v>
      </c>
      <c r="K21" s="152"/>
      <c r="L21" s="152"/>
      <c r="M21" s="152"/>
      <c r="N21" s="152"/>
      <c r="O21" s="152"/>
      <c r="P21" s="155">
        <f>SUM(J21:O21)</f>
        <v>1400000</v>
      </c>
      <c r="Q21" s="44"/>
      <c r="R21" s="44"/>
    </row>
    <row r="22" spans="1:18" ht="13.5" customHeight="1" thickTop="1" thickBot="1" x14ac:dyDescent="0.25">
      <c r="C22" s="158"/>
      <c r="D22" s="158"/>
      <c r="E22" s="158"/>
      <c r="F22" s="158"/>
      <c r="G22" s="158"/>
      <c r="H22" s="47"/>
      <c r="I22" s="148" t="s">
        <v>3</v>
      </c>
      <c r="J22" s="152">
        <f>F23</f>
        <v>1400000</v>
      </c>
      <c r="K22" s="152"/>
      <c r="L22" s="152"/>
      <c r="M22" s="152"/>
      <c r="N22" s="152"/>
      <c r="O22" s="152"/>
      <c r="P22" s="153">
        <f>SUM(J22:O22)</f>
        <v>1400000</v>
      </c>
      <c r="Q22" s="44"/>
      <c r="R22" s="44"/>
    </row>
    <row r="23" spans="1:18" ht="13.5" customHeight="1" thickTop="1" x14ac:dyDescent="0.2">
      <c r="C23" s="156" t="s">
        <v>70</v>
      </c>
      <c r="D23" s="190">
        <f>D10</f>
        <v>1400000</v>
      </c>
      <c r="E23" s="190">
        <f>E10</f>
        <v>1400000</v>
      </c>
      <c r="F23" s="190">
        <f>F10</f>
        <v>1400000</v>
      </c>
      <c r="G23" s="48"/>
      <c r="H23" s="48"/>
      <c r="J23" s="44"/>
      <c r="L23" s="44"/>
      <c r="M23" s="44"/>
      <c r="N23" s="44"/>
      <c r="O23" s="44"/>
      <c r="Q23" s="44"/>
      <c r="R23" s="44"/>
    </row>
    <row r="24" spans="1:18" ht="13.5" customHeight="1" x14ac:dyDescent="0.2">
      <c r="Q24" s="44"/>
      <c r="R24" s="44"/>
    </row>
    <row r="25" spans="1:18" ht="13.5" customHeight="1" x14ac:dyDescent="0.2">
      <c r="Q25" s="44"/>
      <c r="R25" s="44"/>
    </row>
    <row r="26" spans="1:18" ht="13.5" customHeight="1" x14ac:dyDescent="0.2">
      <c r="Q26" s="44"/>
      <c r="R26" s="44"/>
    </row>
    <row r="27" spans="1:18" ht="12.75" x14ac:dyDescent="0.2">
      <c r="A27" s="148">
        <v>2</v>
      </c>
      <c r="B27" s="41"/>
      <c r="C27" s="148" t="s">
        <v>64</v>
      </c>
      <c r="D27" s="186" t="s">
        <v>195</v>
      </c>
      <c r="E27" s="187"/>
      <c r="F27" s="188"/>
      <c r="G27" s="189"/>
      <c r="H27" s="41"/>
      <c r="I27" s="53"/>
      <c r="J27" s="54"/>
      <c r="K27" s="54"/>
      <c r="L27" s="54"/>
      <c r="P27" s="34"/>
      <c r="Q27" s="44"/>
      <c r="R27" s="44"/>
    </row>
    <row r="28" spans="1:18" ht="13.5" customHeight="1" x14ac:dyDescent="0.2">
      <c r="B28" s="41"/>
      <c r="C28" s="148" t="s">
        <v>7</v>
      </c>
      <c r="D28" s="150" t="s">
        <v>69</v>
      </c>
      <c r="H28" s="46"/>
      <c r="J28" s="44"/>
      <c r="L28" s="44"/>
      <c r="M28" s="44"/>
      <c r="N28" s="44"/>
      <c r="O28" s="44"/>
      <c r="P28" s="44"/>
      <c r="Q28" s="44"/>
      <c r="R28" s="44"/>
    </row>
    <row r="29" spans="1:18" ht="13.5" customHeight="1" x14ac:dyDescent="0.2">
      <c r="A29" s="41"/>
      <c r="B29" s="41"/>
      <c r="C29" s="148" t="s">
        <v>22</v>
      </c>
      <c r="D29" s="151" t="s">
        <v>66</v>
      </c>
      <c r="H29" s="41"/>
      <c r="J29" s="44"/>
      <c r="L29" s="44"/>
      <c r="M29" s="44"/>
      <c r="N29" s="44"/>
      <c r="O29" s="44"/>
      <c r="P29" s="44"/>
      <c r="Q29" s="44"/>
      <c r="R29" s="44"/>
    </row>
    <row r="30" spans="1:18" ht="13.5" customHeight="1" x14ac:dyDescent="0.2">
      <c r="J30" s="44"/>
      <c r="L30" s="44"/>
      <c r="M30" s="44"/>
      <c r="N30" s="44"/>
      <c r="O30" s="44"/>
      <c r="P30" s="44"/>
      <c r="Q30" s="44"/>
      <c r="R30" s="44"/>
    </row>
    <row r="31" spans="1:18" ht="13.5" customHeight="1" x14ac:dyDescent="0.2">
      <c r="C31" s="148" t="s">
        <v>57</v>
      </c>
      <c r="D31" s="148" t="s">
        <v>54</v>
      </c>
      <c r="E31" s="148" t="s">
        <v>2</v>
      </c>
      <c r="F31" s="148" t="s">
        <v>3</v>
      </c>
      <c r="G31" s="148" t="s">
        <v>42</v>
      </c>
      <c r="J31" s="44"/>
      <c r="L31" s="44"/>
      <c r="M31" s="44"/>
      <c r="N31" s="44"/>
      <c r="O31" s="44"/>
      <c r="P31" s="44"/>
      <c r="Q31" s="44"/>
      <c r="R31" s="44"/>
    </row>
    <row r="32" spans="1:18" ht="13.5" customHeight="1" x14ac:dyDescent="0.2">
      <c r="B32" s="26"/>
      <c r="C32" s="149" t="s">
        <v>195</v>
      </c>
      <c r="D32" s="149">
        <v>300000</v>
      </c>
      <c r="E32" s="149">
        <v>300000</v>
      </c>
      <c r="F32" s="149">
        <v>300000</v>
      </c>
      <c r="G32" s="149" t="s">
        <v>196</v>
      </c>
      <c r="J32" s="44"/>
      <c r="L32" s="44"/>
      <c r="M32" s="44"/>
      <c r="N32" s="44"/>
      <c r="O32" s="44"/>
      <c r="P32" s="44"/>
      <c r="Q32" s="44"/>
      <c r="R32" s="44"/>
    </row>
    <row r="33" spans="3:18" ht="13.5" customHeight="1" x14ac:dyDescent="0.2">
      <c r="C33" s="149"/>
      <c r="D33" s="149"/>
      <c r="E33" s="149"/>
      <c r="F33" s="149"/>
      <c r="G33" s="149"/>
      <c r="H33" s="47"/>
      <c r="J33" s="44"/>
      <c r="L33" s="44"/>
      <c r="M33" s="44"/>
      <c r="N33" s="44"/>
      <c r="O33" s="44"/>
      <c r="P33" s="44"/>
      <c r="Q33" s="44"/>
      <c r="R33" s="44"/>
    </row>
    <row r="34" spans="3:18" ht="13.5" customHeight="1" x14ac:dyDescent="0.2">
      <c r="C34" s="149"/>
      <c r="D34" s="149"/>
      <c r="E34" s="149"/>
      <c r="F34" s="149"/>
      <c r="G34" s="149"/>
      <c r="H34" s="47"/>
      <c r="J34" s="44"/>
      <c r="L34" s="44"/>
      <c r="M34" s="44"/>
      <c r="N34" s="44"/>
      <c r="O34" s="44"/>
      <c r="P34" s="44"/>
      <c r="Q34" s="44"/>
      <c r="R34" s="44"/>
    </row>
    <row r="35" spans="3:18" ht="13.5" customHeight="1" x14ac:dyDescent="0.2">
      <c r="C35" s="149"/>
      <c r="D35" s="149"/>
      <c r="E35" s="149"/>
      <c r="F35" s="149"/>
      <c r="G35" s="149"/>
      <c r="H35" s="47"/>
      <c r="J35" s="44"/>
      <c r="L35" s="44"/>
      <c r="M35" s="44"/>
      <c r="N35" s="44"/>
      <c r="O35" s="44"/>
      <c r="P35" s="44"/>
      <c r="Q35" s="44"/>
      <c r="R35" s="44"/>
    </row>
    <row r="36" spans="3:18" ht="13.5" customHeight="1" x14ac:dyDescent="0.2">
      <c r="C36" s="149"/>
      <c r="D36" s="149"/>
      <c r="E36" s="149"/>
      <c r="F36" s="149"/>
      <c r="G36" s="149"/>
      <c r="H36" s="47"/>
      <c r="J36" s="44"/>
      <c r="L36" s="44"/>
      <c r="M36" s="44"/>
      <c r="N36" s="44"/>
      <c r="O36" s="44"/>
      <c r="P36" s="44"/>
      <c r="Q36" s="44"/>
      <c r="R36" s="44"/>
    </row>
    <row r="37" spans="3:18" ht="13.5" customHeight="1" x14ac:dyDescent="0.2">
      <c r="C37" s="149"/>
      <c r="D37" s="149"/>
      <c r="E37" s="149"/>
      <c r="F37" s="149"/>
      <c r="G37" s="149"/>
      <c r="H37" s="47"/>
      <c r="J37" s="44"/>
      <c r="L37" s="44"/>
      <c r="M37" s="44"/>
      <c r="N37" s="44"/>
      <c r="O37" s="44"/>
      <c r="P37" s="44"/>
      <c r="Q37" s="44"/>
      <c r="R37" s="44"/>
    </row>
    <row r="38" spans="3:18" ht="13.5" customHeight="1" x14ac:dyDescent="0.2">
      <c r="C38" s="149"/>
      <c r="D38" s="149"/>
      <c r="E38" s="149"/>
      <c r="F38" s="149"/>
      <c r="G38" s="149"/>
      <c r="H38" s="47"/>
      <c r="J38" s="44"/>
      <c r="L38" s="44"/>
      <c r="M38" s="44"/>
      <c r="N38" s="44"/>
      <c r="O38" s="44"/>
      <c r="P38" s="44"/>
      <c r="Q38" s="44"/>
      <c r="R38" s="44"/>
    </row>
    <row r="39" spans="3:18" ht="13.5" customHeight="1" x14ac:dyDescent="0.2">
      <c r="C39" s="149"/>
      <c r="D39" s="149"/>
      <c r="E39" s="149"/>
      <c r="F39" s="149"/>
      <c r="G39" s="149"/>
      <c r="H39" s="47"/>
      <c r="J39" s="44"/>
      <c r="L39" s="44"/>
      <c r="M39" s="44"/>
      <c r="N39" s="44"/>
      <c r="O39" s="44"/>
      <c r="P39" s="44"/>
      <c r="Q39" s="44"/>
      <c r="R39" s="44"/>
    </row>
    <row r="40" spans="3:18" ht="13.5" customHeight="1" x14ac:dyDescent="0.2">
      <c r="C40" s="149"/>
      <c r="D40" s="149"/>
      <c r="E40" s="149"/>
      <c r="F40" s="149"/>
      <c r="G40" s="149"/>
      <c r="H40" s="47"/>
      <c r="I40" s="53"/>
      <c r="J40" s="33"/>
      <c r="K40" s="33"/>
      <c r="P40" s="34"/>
      <c r="Q40" s="44"/>
      <c r="R40" s="44"/>
    </row>
    <row r="41" spans="3:18" ht="13.5" customHeight="1" x14ac:dyDescent="0.2">
      <c r="C41" s="149"/>
      <c r="D41" s="149"/>
      <c r="E41" s="149"/>
      <c r="F41" s="149"/>
      <c r="G41" s="149"/>
      <c r="H41" s="47"/>
      <c r="I41" s="148" t="s">
        <v>56</v>
      </c>
      <c r="J41" s="148">
        <f>Startår</f>
        <v>2022</v>
      </c>
      <c r="K41" s="148">
        <f>J41+1</f>
        <v>2023</v>
      </c>
      <c r="L41" s="148">
        <f>K41+1</f>
        <v>2024</v>
      </c>
      <c r="M41" s="148">
        <f>L41+1</f>
        <v>2025</v>
      </c>
      <c r="N41" s="148">
        <f>M41+1</f>
        <v>2026</v>
      </c>
      <c r="O41" s="148">
        <f>N41+1</f>
        <v>2027</v>
      </c>
      <c r="P41" s="148" t="s">
        <v>10</v>
      </c>
      <c r="Q41" s="44"/>
      <c r="R41" s="44"/>
    </row>
    <row r="42" spans="3:18" ht="13.5" customHeight="1" thickBot="1" x14ac:dyDescent="0.25">
      <c r="C42" s="149"/>
      <c r="D42" s="149"/>
      <c r="E42" s="149"/>
      <c r="F42" s="149"/>
      <c r="G42" s="149"/>
      <c r="H42" s="47"/>
      <c r="I42" s="148" t="s">
        <v>15</v>
      </c>
      <c r="J42" s="152"/>
      <c r="K42" s="152">
        <f>$D$45</f>
        <v>300000</v>
      </c>
      <c r="L42" s="152">
        <f t="shared" ref="L42:O42" si="0">$D$45</f>
        <v>300000</v>
      </c>
      <c r="M42" s="152">
        <f t="shared" si="0"/>
        <v>300000</v>
      </c>
      <c r="N42" s="152">
        <f t="shared" si="0"/>
        <v>300000</v>
      </c>
      <c r="O42" s="152">
        <f t="shared" si="0"/>
        <v>300000</v>
      </c>
      <c r="P42" s="154">
        <f>SUM(J42:O42)</f>
        <v>1500000</v>
      </c>
      <c r="Q42" s="44"/>
      <c r="R42" s="44"/>
    </row>
    <row r="43" spans="3:18" ht="13.5" customHeight="1" thickTop="1" thickBot="1" x14ac:dyDescent="0.25">
      <c r="C43" s="149"/>
      <c r="D43" s="149"/>
      <c r="E43" s="149"/>
      <c r="F43" s="149"/>
      <c r="G43" s="149"/>
      <c r="H43" s="47"/>
      <c r="I43" s="148" t="s">
        <v>55</v>
      </c>
      <c r="J43" s="152"/>
      <c r="K43" s="152">
        <f>$E$45</f>
        <v>300000</v>
      </c>
      <c r="L43" s="152">
        <f t="shared" ref="L43:O43" si="1">$E$45</f>
        <v>300000</v>
      </c>
      <c r="M43" s="152">
        <f t="shared" si="1"/>
        <v>300000</v>
      </c>
      <c r="N43" s="152">
        <f t="shared" si="1"/>
        <v>300000</v>
      </c>
      <c r="O43" s="152">
        <f t="shared" si="1"/>
        <v>300000</v>
      </c>
      <c r="P43" s="155">
        <f>SUM(J43:O43)</f>
        <v>1500000</v>
      </c>
      <c r="Q43" s="44"/>
      <c r="R43" s="44"/>
    </row>
    <row r="44" spans="3:18" ht="13.5" customHeight="1" thickTop="1" thickBot="1" x14ac:dyDescent="0.25">
      <c r="C44" s="158"/>
      <c r="D44" s="158"/>
      <c r="E44" s="158"/>
      <c r="F44" s="158"/>
      <c r="G44" s="158"/>
      <c r="H44" s="47"/>
      <c r="I44" s="148" t="s">
        <v>3</v>
      </c>
      <c r="J44" s="152"/>
      <c r="K44" s="152">
        <f>$F$45</f>
        <v>300000</v>
      </c>
      <c r="L44" s="152">
        <f t="shared" ref="L44:O44" si="2">$F$45</f>
        <v>300000</v>
      </c>
      <c r="M44" s="152">
        <f t="shared" si="2"/>
        <v>300000</v>
      </c>
      <c r="N44" s="152">
        <f t="shared" si="2"/>
        <v>300000</v>
      </c>
      <c r="O44" s="152">
        <f t="shared" si="2"/>
        <v>300000</v>
      </c>
      <c r="P44" s="153">
        <f>SUM(J44:O44)</f>
        <v>1500000</v>
      </c>
      <c r="Q44" s="44"/>
      <c r="R44" s="44"/>
    </row>
    <row r="45" spans="3:18" ht="13.5" customHeight="1" thickTop="1" x14ac:dyDescent="0.2">
      <c r="C45" s="156" t="s">
        <v>70</v>
      </c>
      <c r="D45" s="190">
        <f>D32</f>
        <v>300000</v>
      </c>
      <c r="E45" s="190">
        <f>E32</f>
        <v>300000</v>
      </c>
      <c r="F45" s="190">
        <f>F32</f>
        <v>300000</v>
      </c>
      <c r="G45" s="48"/>
      <c r="H45" s="48"/>
      <c r="Q45" s="44"/>
      <c r="R45" s="44"/>
    </row>
    <row r="46" spans="3:18" ht="13.5" customHeight="1" x14ac:dyDescent="0.2">
      <c r="H46" s="48"/>
      <c r="Q46" s="44"/>
      <c r="R46" s="44"/>
    </row>
    <row r="47" spans="3:18" ht="13.5" customHeight="1" x14ac:dyDescent="0.2">
      <c r="C47" s="33"/>
      <c r="D47" s="34"/>
      <c r="Q47" s="44"/>
      <c r="R47" s="44"/>
    </row>
    <row r="48" spans="3:18" ht="13.5" customHeight="1" x14ac:dyDescent="0.2">
      <c r="C48" s="33"/>
      <c r="D48" s="34"/>
      <c r="Q48" s="44"/>
      <c r="R48" s="44"/>
    </row>
    <row r="49" spans="1:18" ht="13.5" customHeight="1" x14ac:dyDescent="0.2">
      <c r="B49" s="41"/>
      <c r="C49" s="33"/>
      <c r="D49" s="34"/>
      <c r="I49" s="53"/>
      <c r="J49" s="54"/>
      <c r="K49" s="54"/>
      <c r="L49" s="54"/>
      <c r="P49" s="34"/>
      <c r="Q49" s="44"/>
      <c r="R49" s="44"/>
    </row>
    <row r="50" spans="1:18" ht="13.5" customHeight="1" x14ac:dyDescent="0.2">
      <c r="B50" s="41"/>
      <c r="J50" s="44"/>
      <c r="L50" s="44"/>
      <c r="M50" s="44"/>
      <c r="N50" s="44"/>
      <c r="O50" s="44"/>
      <c r="P50" s="44"/>
      <c r="Q50" s="44"/>
      <c r="R50" s="44"/>
    </row>
    <row r="51" spans="1:18" ht="13.5" customHeight="1" x14ac:dyDescent="0.2">
      <c r="A51" s="148">
        <v>3</v>
      </c>
      <c r="B51" s="41"/>
      <c r="C51" s="148" t="s">
        <v>64</v>
      </c>
      <c r="D51" s="186" t="s">
        <v>186</v>
      </c>
      <c r="E51" s="187"/>
      <c r="F51" s="188"/>
      <c r="G51" s="189"/>
      <c r="H51" s="41"/>
      <c r="J51" s="44"/>
      <c r="L51" s="44"/>
      <c r="M51" s="44"/>
      <c r="N51" s="44"/>
      <c r="O51" s="44"/>
      <c r="P51" s="44"/>
      <c r="Q51" s="44"/>
      <c r="R51" s="44"/>
    </row>
    <row r="52" spans="1:18" ht="13.5" customHeight="1" x14ac:dyDescent="0.2">
      <c r="B52" s="41"/>
      <c r="C52" s="148" t="s">
        <v>7</v>
      </c>
      <c r="D52" s="150" t="s">
        <v>69</v>
      </c>
      <c r="H52" s="46"/>
      <c r="J52" s="44"/>
      <c r="L52" s="44"/>
      <c r="M52" s="44"/>
      <c r="N52" s="44"/>
      <c r="O52" s="44"/>
      <c r="P52" s="44"/>
      <c r="Q52" s="44"/>
      <c r="R52" s="44"/>
    </row>
    <row r="53" spans="1:18" ht="13.5" customHeight="1" x14ac:dyDescent="0.2">
      <c r="A53" s="41"/>
      <c r="B53" s="41"/>
      <c r="C53" s="148" t="s">
        <v>22</v>
      </c>
      <c r="D53" s="151" t="s">
        <v>66</v>
      </c>
      <c r="H53" s="41"/>
      <c r="J53" s="44"/>
      <c r="L53" s="44"/>
      <c r="M53" s="44"/>
      <c r="N53" s="44"/>
      <c r="O53" s="44"/>
      <c r="P53" s="44"/>
      <c r="Q53" s="44"/>
      <c r="R53" s="44"/>
    </row>
    <row r="54" spans="1:18" ht="13.5" customHeight="1" x14ac:dyDescent="0.2">
      <c r="J54" s="44"/>
      <c r="L54" s="44"/>
      <c r="M54" s="44"/>
      <c r="N54" s="44"/>
      <c r="O54" s="44"/>
      <c r="P54" s="44"/>
      <c r="Q54" s="44"/>
      <c r="R54" s="44"/>
    </row>
    <row r="55" spans="1:18" ht="13.5" customHeight="1" x14ac:dyDescent="0.2">
      <c r="C55" s="148" t="s">
        <v>57</v>
      </c>
      <c r="D55" s="148" t="s">
        <v>54</v>
      </c>
      <c r="E55" s="148" t="s">
        <v>2</v>
      </c>
      <c r="F55" s="148" t="s">
        <v>3</v>
      </c>
      <c r="G55" s="148" t="s">
        <v>42</v>
      </c>
      <c r="J55" s="44"/>
      <c r="L55" s="44"/>
      <c r="M55" s="44"/>
      <c r="N55" s="44"/>
      <c r="O55" s="44"/>
      <c r="P55" s="44"/>
      <c r="Q55" s="44"/>
      <c r="R55" s="44"/>
    </row>
    <row r="56" spans="1:18" ht="13.5" customHeight="1" x14ac:dyDescent="0.2">
      <c r="B56" s="26"/>
      <c r="C56" s="149" t="s">
        <v>187</v>
      </c>
      <c r="D56" s="301">
        <v>0.15</v>
      </c>
      <c r="E56" s="301">
        <v>0.1</v>
      </c>
      <c r="F56" s="301">
        <v>0.15</v>
      </c>
      <c r="G56" s="149" t="s">
        <v>198</v>
      </c>
      <c r="J56" s="44"/>
      <c r="L56" s="44"/>
      <c r="M56" s="44"/>
      <c r="N56" s="44"/>
      <c r="O56" s="44"/>
      <c r="P56" s="44"/>
      <c r="Q56" s="44"/>
      <c r="R56" s="44"/>
    </row>
    <row r="57" spans="1:18" ht="13.5" customHeight="1" x14ac:dyDescent="0.2">
      <c r="C57" s="149" t="s">
        <v>188</v>
      </c>
      <c r="D57" s="149">
        <f>'Räkna på nyttor'!D13</f>
        <v>1458000</v>
      </c>
      <c r="E57" s="149">
        <f>'Räkna på nyttor'!E13</f>
        <v>291600</v>
      </c>
      <c r="F57" s="149">
        <f>'Räkna på nyttor'!E13</f>
        <v>291600</v>
      </c>
      <c r="G57" s="149" t="s">
        <v>197</v>
      </c>
      <c r="H57" s="47"/>
      <c r="J57" s="44"/>
      <c r="L57" s="44"/>
      <c r="M57" s="44"/>
      <c r="N57" s="44"/>
      <c r="O57" s="44"/>
      <c r="P57" s="44"/>
      <c r="Q57" s="44"/>
      <c r="R57" s="44"/>
    </row>
    <row r="58" spans="1:18" ht="13.5" customHeight="1" x14ac:dyDescent="0.2">
      <c r="C58" s="149" t="s">
        <v>189</v>
      </c>
      <c r="D58" s="149">
        <f>D57*D56</f>
        <v>218700</v>
      </c>
      <c r="E58" s="149">
        <f t="shared" ref="E58:F58" si="3">E57*E56</f>
        <v>29160</v>
      </c>
      <c r="F58" s="149">
        <f t="shared" si="3"/>
        <v>43740</v>
      </c>
      <c r="G58" s="149" t="s">
        <v>191</v>
      </c>
      <c r="H58" s="47"/>
      <c r="J58" s="44"/>
      <c r="L58" s="44"/>
      <c r="M58" s="44"/>
      <c r="N58" s="44"/>
      <c r="O58" s="44"/>
      <c r="P58" s="44"/>
      <c r="Q58" s="44"/>
      <c r="R58" s="44"/>
    </row>
    <row r="59" spans="1:18" ht="13.5" customHeight="1" x14ac:dyDescent="0.2">
      <c r="C59" s="149"/>
      <c r="D59" s="149"/>
      <c r="E59" s="149"/>
      <c r="F59" s="149"/>
      <c r="G59" s="149"/>
      <c r="H59" s="47"/>
      <c r="J59" s="44"/>
      <c r="L59" s="44"/>
      <c r="M59" s="44"/>
      <c r="N59" s="44"/>
      <c r="O59" s="44"/>
      <c r="P59" s="44"/>
      <c r="Q59" s="44"/>
      <c r="R59" s="44"/>
    </row>
    <row r="60" spans="1:18" ht="13.5" customHeight="1" x14ac:dyDescent="0.2">
      <c r="C60" s="149"/>
      <c r="D60" s="149"/>
      <c r="E60" s="149"/>
      <c r="F60" s="149"/>
      <c r="G60" s="149"/>
      <c r="H60" s="47"/>
      <c r="J60" s="44"/>
      <c r="L60" s="44"/>
      <c r="M60" s="44"/>
      <c r="N60" s="44"/>
      <c r="O60" s="44"/>
      <c r="P60" s="44"/>
      <c r="Q60" s="44"/>
      <c r="R60" s="44"/>
    </row>
    <row r="61" spans="1:18" ht="13.5" customHeight="1" x14ac:dyDescent="0.2">
      <c r="C61" s="149"/>
      <c r="D61" s="149"/>
      <c r="E61" s="149"/>
      <c r="F61" s="149"/>
      <c r="G61" s="149"/>
      <c r="H61" s="47"/>
      <c r="J61" s="44"/>
      <c r="L61" s="44"/>
      <c r="M61" s="44"/>
      <c r="N61" s="44"/>
      <c r="O61" s="44"/>
      <c r="P61" s="44"/>
      <c r="Q61" s="44"/>
      <c r="R61" s="44"/>
    </row>
    <row r="62" spans="1:18" ht="13.5" customHeight="1" x14ac:dyDescent="0.2">
      <c r="C62" s="149"/>
      <c r="D62" s="149"/>
      <c r="E62" s="149"/>
      <c r="F62" s="149"/>
      <c r="G62" s="149"/>
      <c r="H62" s="47"/>
      <c r="J62" s="44"/>
      <c r="L62" s="44"/>
      <c r="M62" s="44"/>
      <c r="N62" s="44"/>
      <c r="O62" s="44"/>
      <c r="P62" s="44"/>
      <c r="Q62" s="44"/>
      <c r="R62" s="44"/>
    </row>
    <row r="63" spans="1:18" ht="13.5" customHeight="1" x14ac:dyDescent="0.2">
      <c r="C63" s="149"/>
      <c r="D63" s="149"/>
      <c r="E63" s="149"/>
      <c r="F63" s="149"/>
      <c r="G63" s="149"/>
      <c r="H63" s="47"/>
      <c r="J63" s="44"/>
      <c r="L63" s="44"/>
      <c r="M63" s="44"/>
      <c r="N63" s="44"/>
      <c r="O63" s="44"/>
      <c r="P63" s="44"/>
      <c r="Q63" s="44"/>
      <c r="R63" s="44"/>
    </row>
    <row r="64" spans="1:18" ht="13.5" customHeight="1" x14ac:dyDescent="0.2">
      <c r="C64" s="149"/>
      <c r="D64" s="149"/>
      <c r="E64" s="149"/>
      <c r="F64" s="149"/>
      <c r="G64" s="149"/>
      <c r="H64" s="47"/>
      <c r="J64" s="44"/>
      <c r="L64" s="44"/>
      <c r="M64" s="44"/>
      <c r="N64" s="44"/>
      <c r="O64" s="44"/>
      <c r="P64" s="44"/>
      <c r="Q64" s="44"/>
      <c r="R64" s="44"/>
    </row>
    <row r="65" spans="1:18" ht="13.5" customHeight="1" x14ac:dyDescent="0.2">
      <c r="C65" s="149"/>
      <c r="D65" s="149"/>
      <c r="E65" s="149"/>
      <c r="F65" s="149"/>
      <c r="G65" s="149"/>
      <c r="H65" s="47"/>
      <c r="I65" s="148" t="s">
        <v>56</v>
      </c>
      <c r="J65" s="148">
        <f>Startår</f>
        <v>2022</v>
      </c>
      <c r="K65" s="148">
        <f>J65+1</f>
        <v>2023</v>
      </c>
      <c r="L65" s="148">
        <f>K65+1</f>
        <v>2024</v>
      </c>
      <c r="M65" s="148">
        <f>L65+1</f>
        <v>2025</v>
      </c>
      <c r="N65" s="148">
        <f>M65+1</f>
        <v>2026</v>
      </c>
      <c r="O65" s="148">
        <f>N65+1</f>
        <v>2027</v>
      </c>
      <c r="P65" s="148" t="s">
        <v>10</v>
      </c>
      <c r="Q65" s="44"/>
      <c r="R65" s="44"/>
    </row>
    <row r="66" spans="1:18" ht="13.5" customHeight="1" thickBot="1" x14ac:dyDescent="0.25">
      <c r="C66" s="149"/>
      <c r="D66" s="149"/>
      <c r="E66" s="149"/>
      <c r="F66" s="149"/>
      <c r="G66" s="149"/>
      <c r="H66" s="47"/>
      <c r="I66" s="148" t="s">
        <v>15</v>
      </c>
      <c r="J66" s="152"/>
      <c r="K66" s="152">
        <f>$D$69</f>
        <v>218700</v>
      </c>
      <c r="L66" s="152">
        <f>$D$69</f>
        <v>218700</v>
      </c>
      <c r="M66" s="152">
        <f t="shared" ref="M66:O66" si="4">$D$69</f>
        <v>218700</v>
      </c>
      <c r="N66" s="152">
        <f t="shared" si="4"/>
        <v>218700</v>
      </c>
      <c r="O66" s="152">
        <f t="shared" si="4"/>
        <v>218700</v>
      </c>
      <c r="P66" s="154">
        <f>SUM(J66:O66)</f>
        <v>1093500</v>
      </c>
      <c r="Q66" s="44"/>
      <c r="R66" s="44"/>
    </row>
    <row r="67" spans="1:18" ht="13.5" customHeight="1" thickTop="1" thickBot="1" x14ac:dyDescent="0.25">
      <c r="C67" s="149"/>
      <c r="D67" s="149"/>
      <c r="E67" s="149"/>
      <c r="F67" s="149"/>
      <c r="G67" s="149"/>
      <c r="H67" s="47"/>
      <c r="I67" s="148" t="s">
        <v>55</v>
      </c>
      <c r="J67" s="152"/>
      <c r="K67" s="152">
        <f>$E$69</f>
        <v>29160</v>
      </c>
      <c r="L67" s="152">
        <f>$E$69</f>
        <v>29160</v>
      </c>
      <c r="M67" s="152">
        <f t="shared" ref="M67:O67" si="5">$E$69</f>
        <v>29160</v>
      </c>
      <c r="N67" s="152">
        <f t="shared" si="5"/>
        <v>29160</v>
      </c>
      <c r="O67" s="152">
        <f t="shared" si="5"/>
        <v>29160</v>
      </c>
      <c r="P67" s="155">
        <f>SUM(J67:O67)</f>
        <v>145800</v>
      </c>
      <c r="Q67" s="44"/>
      <c r="R67" s="44"/>
    </row>
    <row r="68" spans="1:18" ht="13.5" customHeight="1" thickTop="1" thickBot="1" x14ac:dyDescent="0.25">
      <c r="C68" s="158"/>
      <c r="D68" s="158"/>
      <c r="E68" s="158"/>
      <c r="F68" s="158"/>
      <c r="G68" s="158"/>
      <c r="H68" s="47"/>
      <c r="I68" s="148" t="s">
        <v>3</v>
      </c>
      <c r="J68" s="152"/>
      <c r="K68" s="152">
        <f>$F$69</f>
        <v>43740</v>
      </c>
      <c r="L68" s="152">
        <f>$F$69</f>
        <v>43740</v>
      </c>
      <c r="M68" s="152">
        <f t="shared" ref="M68:O68" si="6">$F$69</f>
        <v>43740</v>
      </c>
      <c r="N68" s="152">
        <f t="shared" si="6"/>
        <v>43740</v>
      </c>
      <c r="O68" s="152">
        <f t="shared" si="6"/>
        <v>43740</v>
      </c>
      <c r="P68" s="153">
        <f>SUM(J68:O68)</f>
        <v>218700</v>
      </c>
      <c r="Q68" s="44"/>
      <c r="R68" s="44"/>
    </row>
    <row r="69" spans="1:18" ht="13.5" customHeight="1" thickTop="1" x14ac:dyDescent="0.2">
      <c r="C69" s="156" t="s">
        <v>70</v>
      </c>
      <c r="D69" s="190">
        <f>D58</f>
        <v>218700</v>
      </c>
      <c r="E69" s="190">
        <f t="shared" ref="E69:F69" si="7">E58</f>
        <v>29160</v>
      </c>
      <c r="F69" s="190">
        <f t="shared" si="7"/>
        <v>43740</v>
      </c>
      <c r="G69" s="48"/>
      <c r="H69" s="48"/>
      <c r="Q69" s="44"/>
      <c r="R69" s="44"/>
    </row>
    <row r="70" spans="1:18" ht="13.5" customHeight="1" x14ac:dyDescent="0.2">
      <c r="Q70" s="44"/>
      <c r="R70" s="44"/>
    </row>
    <row r="71" spans="1:18" ht="13.5" customHeight="1" x14ac:dyDescent="0.2">
      <c r="B71" s="41"/>
      <c r="Q71" s="44"/>
      <c r="R71" s="44"/>
    </row>
    <row r="72" spans="1:18" ht="13.5" customHeight="1" x14ac:dyDescent="0.2">
      <c r="B72" s="41"/>
      <c r="Q72" s="44"/>
      <c r="R72" s="44"/>
    </row>
    <row r="73" spans="1:18" ht="13.5" customHeight="1" x14ac:dyDescent="0.2">
      <c r="I73" s="53"/>
      <c r="J73" s="54"/>
      <c r="K73" s="54"/>
      <c r="L73" s="54"/>
      <c r="P73" s="34"/>
      <c r="Q73" s="44"/>
      <c r="R73" s="44"/>
    </row>
    <row r="74" spans="1:18" ht="13.5" customHeight="1" x14ac:dyDescent="0.2">
      <c r="A74" s="148">
        <v>4</v>
      </c>
      <c r="B74" s="41"/>
      <c r="C74" s="148" t="s">
        <v>64</v>
      </c>
      <c r="D74" s="186" t="s">
        <v>199</v>
      </c>
      <c r="E74" s="187"/>
      <c r="F74" s="188"/>
      <c r="G74" s="189"/>
      <c r="H74" s="41"/>
      <c r="J74" s="44"/>
      <c r="L74" s="44"/>
      <c r="M74" s="44"/>
      <c r="N74" s="44"/>
      <c r="O74" s="44"/>
      <c r="P74" s="44"/>
      <c r="Q74" s="44"/>
      <c r="R74" s="44"/>
    </row>
    <row r="75" spans="1:18" ht="13.5" customHeight="1" x14ac:dyDescent="0.2">
      <c r="A75" s="41"/>
      <c r="B75" s="41"/>
      <c r="C75" s="148" t="s">
        <v>7</v>
      </c>
      <c r="D75" s="150" t="s">
        <v>69</v>
      </c>
      <c r="H75" s="46"/>
      <c r="J75" s="44"/>
      <c r="L75" s="44"/>
      <c r="M75" s="44"/>
      <c r="N75" s="44"/>
      <c r="O75" s="44"/>
      <c r="P75" s="44"/>
      <c r="Q75" s="44"/>
      <c r="R75" s="44"/>
    </row>
    <row r="76" spans="1:18" ht="13.5" customHeight="1" x14ac:dyDescent="0.2">
      <c r="B76" s="41"/>
      <c r="C76" s="148" t="s">
        <v>22</v>
      </c>
      <c r="D76" s="151" t="s">
        <v>35</v>
      </c>
      <c r="H76" s="41"/>
      <c r="J76" s="44"/>
      <c r="L76" s="44"/>
      <c r="M76" s="44"/>
      <c r="N76" s="44"/>
      <c r="O76" s="44"/>
      <c r="P76" s="44"/>
      <c r="Q76" s="44"/>
      <c r="R76" s="44"/>
    </row>
    <row r="77" spans="1:18" ht="13.5" customHeight="1" x14ac:dyDescent="0.2">
      <c r="J77" s="44"/>
      <c r="L77" s="44"/>
      <c r="M77" s="44"/>
      <c r="N77" s="44"/>
      <c r="O77" s="44"/>
      <c r="P77" s="44"/>
      <c r="Q77" s="44"/>
      <c r="R77" s="44"/>
    </row>
    <row r="78" spans="1:18" ht="13.5" customHeight="1" x14ac:dyDescent="0.2">
      <c r="C78" s="148" t="s">
        <v>57</v>
      </c>
      <c r="D78" s="148" t="s">
        <v>54</v>
      </c>
      <c r="E78" s="148" t="s">
        <v>2</v>
      </c>
      <c r="F78" s="148" t="s">
        <v>3</v>
      </c>
      <c r="G78" s="148" t="s">
        <v>42</v>
      </c>
      <c r="J78" s="44"/>
      <c r="L78" s="44"/>
      <c r="M78" s="44"/>
      <c r="N78" s="44"/>
      <c r="O78" s="44"/>
      <c r="P78" s="44"/>
      <c r="Q78" s="44"/>
      <c r="R78" s="44"/>
    </row>
    <row r="79" spans="1:18" ht="13.5" customHeight="1" x14ac:dyDescent="0.2">
      <c r="B79" s="26"/>
      <c r="C79" s="149" t="s">
        <v>199</v>
      </c>
      <c r="D79" s="149">
        <v>560000</v>
      </c>
      <c r="E79" s="149">
        <v>560000</v>
      </c>
      <c r="F79" s="149">
        <v>560000</v>
      </c>
      <c r="G79" s="149" t="s">
        <v>196</v>
      </c>
      <c r="J79" s="44"/>
      <c r="L79" s="44"/>
      <c r="M79" s="44"/>
      <c r="N79" s="44"/>
      <c r="O79" s="44"/>
      <c r="P79" s="44"/>
      <c r="Q79" s="44"/>
      <c r="R79" s="44"/>
    </row>
    <row r="80" spans="1:18" ht="13.5" customHeight="1" x14ac:dyDescent="0.2">
      <c r="C80" s="149"/>
      <c r="D80" s="149"/>
      <c r="E80" s="149"/>
      <c r="F80" s="149"/>
      <c r="G80" s="149"/>
      <c r="H80" s="47"/>
      <c r="J80" s="44"/>
      <c r="L80" s="44"/>
      <c r="M80" s="44"/>
      <c r="N80" s="44"/>
      <c r="O80" s="44"/>
      <c r="P80" s="44"/>
      <c r="Q80" s="44"/>
      <c r="R80" s="44"/>
    </row>
    <row r="81" spans="2:18" ht="13.5" customHeight="1" x14ac:dyDescent="0.2">
      <c r="C81" s="149"/>
      <c r="D81" s="149"/>
      <c r="E81" s="149"/>
      <c r="F81" s="149"/>
      <c r="G81" s="149"/>
      <c r="H81" s="47"/>
      <c r="J81" s="44"/>
      <c r="L81" s="44"/>
      <c r="M81" s="44"/>
      <c r="N81" s="44"/>
      <c r="O81" s="44"/>
      <c r="P81" s="44"/>
      <c r="Q81" s="44"/>
      <c r="R81" s="44"/>
    </row>
    <row r="82" spans="2:18" ht="13.5" customHeight="1" x14ac:dyDescent="0.2">
      <c r="C82" s="149"/>
      <c r="D82" s="149"/>
      <c r="E82" s="149"/>
      <c r="F82" s="149"/>
      <c r="G82" s="149"/>
      <c r="H82" s="47"/>
      <c r="J82" s="44"/>
      <c r="L82" s="44"/>
      <c r="M82" s="44"/>
      <c r="N82" s="44"/>
      <c r="O82" s="44"/>
      <c r="P82" s="44"/>
      <c r="Q82" s="44"/>
      <c r="R82" s="44"/>
    </row>
    <row r="83" spans="2:18" ht="13.5" customHeight="1" x14ac:dyDescent="0.2">
      <c r="C83" s="149"/>
      <c r="D83" s="149"/>
      <c r="E83" s="149"/>
      <c r="F83" s="149"/>
      <c r="G83" s="149"/>
      <c r="H83" s="47"/>
      <c r="J83" s="44"/>
      <c r="L83" s="44"/>
      <c r="M83" s="44"/>
      <c r="N83" s="44"/>
      <c r="O83" s="44"/>
      <c r="P83" s="44"/>
      <c r="Q83" s="44"/>
      <c r="R83" s="44"/>
    </row>
    <row r="84" spans="2:18" ht="13.5" customHeight="1" x14ac:dyDescent="0.2">
      <c r="C84" s="149"/>
      <c r="D84" s="149"/>
      <c r="E84" s="149"/>
      <c r="F84" s="149"/>
      <c r="G84" s="149"/>
      <c r="H84" s="47"/>
      <c r="J84" s="44"/>
      <c r="L84" s="44"/>
      <c r="M84" s="44"/>
      <c r="N84" s="44"/>
      <c r="O84" s="44"/>
      <c r="P84" s="44"/>
      <c r="Q84" s="44"/>
      <c r="R84" s="44"/>
    </row>
    <row r="85" spans="2:18" ht="13.5" customHeight="1" x14ac:dyDescent="0.2">
      <c r="C85" s="149"/>
      <c r="D85" s="149"/>
      <c r="E85" s="149"/>
      <c r="F85" s="149"/>
      <c r="G85" s="149"/>
      <c r="H85" s="47"/>
      <c r="J85" s="44"/>
      <c r="L85" s="44"/>
      <c r="M85" s="44"/>
      <c r="N85" s="44"/>
      <c r="O85" s="44"/>
      <c r="P85" s="44"/>
      <c r="Q85" s="44"/>
      <c r="R85" s="44"/>
    </row>
    <row r="86" spans="2:18" ht="13.5" customHeight="1" x14ac:dyDescent="0.2">
      <c r="C86" s="149"/>
      <c r="D86" s="149"/>
      <c r="E86" s="149"/>
      <c r="F86" s="149"/>
      <c r="G86" s="149"/>
      <c r="H86" s="47"/>
      <c r="J86" s="44"/>
      <c r="L86" s="44"/>
      <c r="M86" s="44"/>
      <c r="N86" s="44"/>
      <c r="O86" s="44"/>
      <c r="P86" s="44"/>
      <c r="Q86" s="44"/>
      <c r="R86" s="44"/>
    </row>
    <row r="87" spans="2:18" ht="13.5" customHeight="1" x14ac:dyDescent="0.2">
      <c r="C87" s="149"/>
      <c r="D87" s="149"/>
      <c r="E87" s="149"/>
      <c r="F87" s="149"/>
      <c r="G87" s="149"/>
      <c r="H87" s="47"/>
      <c r="J87" s="44"/>
      <c r="L87" s="44"/>
      <c r="M87" s="44"/>
      <c r="N87" s="44"/>
      <c r="O87" s="44"/>
      <c r="P87" s="44"/>
      <c r="Q87" s="44"/>
      <c r="R87" s="44"/>
    </row>
    <row r="88" spans="2:18" ht="13.5" customHeight="1" x14ac:dyDescent="0.2">
      <c r="C88" s="149"/>
      <c r="D88" s="149"/>
      <c r="E88" s="149"/>
      <c r="F88" s="149"/>
      <c r="G88" s="149"/>
      <c r="H88" s="47"/>
      <c r="I88" s="148" t="s">
        <v>56</v>
      </c>
      <c r="J88" s="148">
        <f>Startår</f>
        <v>2022</v>
      </c>
      <c r="K88" s="148">
        <f>J88+1</f>
        <v>2023</v>
      </c>
      <c r="L88" s="148">
        <f>K88+1</f>
        <v>2024</v>
      </c>
      <c r="M88" s="148">
        <f>L88+1</f>
        <v>2025</v>
      </c>
      <c r="N88" s="148">
        <f>M88+1</f>
        <v>2026</v>
      </c>
      <c r="O88" s="148">
        <f>N88+1</f>
        <v>2027</v>
      </c>
      <c r="P88" s="148" t="s">
        <v>10</v>
      </c>
      <c r="Q88" s="44"/>
      <c r="R88" s="44"/>
    </row>
    <row r="89" spans="2:18" ht="13.5" customHeight="1" thickBot="1" x14ac:dyDescent="0.25">
      <c r="C89" s="149"/>
      <c r="D89" s="149"/>
      <c r="E89" s="149"/>
      <c r="F89" s="149"/>
      <c r="G89" s="149"/>
      <c r="H89" s="47"/>
      <c r="I89" s="148" t="s">
        <v>15</v>
      </c>
      <c r="J89" s="152">
        <f>D92</f>
        <v>560000</v>
      </c>
      <c r="K89" s="152"/>
      <c r="L89" s="152"/>
      <c r="M89" s="152"/>
      <c r="N89" s="152"/>
      <c r="O89" s="152"/>
      <c r="P89" s="154">
        <f>SUM(J89:O89)</f>
        <v>560000</v>
      </c>
      <c r="Q89" s="44"/>
      <c r="R89" s="44"/>
    </row>
    <row r="90" spans="2:18" ht="13.5" customHeight="1" thickTop="1" thickBot="1" x14ac:dyDescent="0.25">
      <c r="C90" s="149"/>
      <c r="D90" s="149"/>
      <c r="E90" s="149"/>
      <c r="F90" s="149"/>
      <c r="G90" s="149"/>
      <c r="H90" s="47"/>
      <c r="I90" s="148" t="s">
        <v>55</v>
      </c>
      <c r="J90" s="152">
        <f>E92</f>
        <v>560000</v>
      </c>
      <c r="K90" s="152"/>
      <c r="L90" s="152"/>
      <c r="M90" s="152"/>
      <c r="N90" s="152"/>
      <c r="O90" s="152"/>
      <c r="P90" s="155">
        <f>SUM(J90:O90)</f>
        <v>560000</v>
      </c>
      <c r="Q90" s="44"/>
      <c r="R90" s="44"/>
    </row>
    <row r="91" spans="2:18" ht="13.5" customHeight="1" thickTop="1" thickBot="1" x14ac:dyDescent="0.25">
      <c r="C91" s="158"/>
      <c r="D91" s="158"/>
      <c r="E91" s="158"/>
      <c r="F91" s="158"/>
      <c r="G91" s="158"/>
      <c r="H91" s="47"/>
      <c r="I91" s="148" t="s">
        <v>3</v>
      </c>
      <c r="J91" s="152">
        <f>F92</f>
        <v>560000</v>
      </c>
      <c r="K91" s="152"/>
      <c r="L91" s="152"/>
      <c r="M91" s="152"/>
      <c r="N91" s="152"/>
      <c r="O91" s="152"/>
      <c r="P91" s="153">
        <f>SUM(J91:O91)</f>
        <v>560000</v>
      </c>
      <c r="Q91" s="44"/>
      <c r="R91" s="44"/>
    </row>
    <row r="92" spans="2:18" ht="13.5" customHeight="1" thickTop="1" x14ac:dyDescent="0.2">
      <c r="C92" s="156" t="s">
        <v>70</v>
      </c>
      <c r="D92" s="190">
        <f>D79</f>
        <v>560000</v>
      </c>
      <c r="E92" s="190">
        <f t="shared" ref="E92:F92" si="8">E79</f>
        <v>560000</v>
      </c>
      <c r="F92" s="190">
        <f t="shared" si="8"/>
        <v>560000</v>
      </c>
      <c r="G92" s="48"/>
      <c r="H92" s="48"/>
      <c r="Q92" s="44"/>
      <c r="R92" s="44"/>
    </row>
    <row r="93" spans="2:18" ht="13.5" customHeight="1" x14ac:dyDescent="0.2">
      <c r="Q93" s="44"/>
      <c r="R93" s="44"/>
    </row>
    <row r="94" spans="2:18" ht="13.5" customHeight="1" x14ac:dyDescent="0.2">
      <c r="B94" s="41"/>
      <c r="Q94" s="44"/>
      <c r="R94" s="44"/>
    </row>
    <row r="95" spans="2:18" ht="13.5" customHeight="1" x14ac:dyDescent="0.2">
      <c r="Q95" s="44"/>
      <c r="R95" s="44"/>
    </row>
    <row r="96" spans="2:18" ht="13.5" customHeight="1" x14ac:dyDescent="0.2">
      <c r="I96" s="53"/>
      <c r="J96" s="54"/>
      <c r="K96" s="54"/>
      <c r="L96" s="54"/>
      <c r="P96" s="34"/>
      <c r="Q96" s="44"/>
      <c r="R96" s="44"/>
    </row>
    <row r="97" spans="1:18 2096:2096" ht="13.5" customHeight="1" x14ac:dyDescent="0.2">
      <c r="A97" s="148">
        <v>5</v>
      </c>
      <c r="B97" s="41"/>
      <c r="C97" s="148" t="s">
        <v>64</v>
      </c>
      <c r="D97" s="186"/>
      <c r="E97" s="187"/>
      <c r="F97" s="188"/>
      <c r="G97" s="189"/>
      <c r="H97" s="41"/>
      <c r="J97" s="44"/>
      <c r="L97" s="44"/>
      <c r="M97" s="44"/>
      <c r="N97" s="44"/>
      <c r="O97" s="44"/>
      <c r="P97" s="44"/>
      <c r="Q97" s="44"/>
      <c r="R97" s="44"/>
    </row>
    <row r="98" spans="1:18 2096:2096" ht="13.5" customHeight="1" x14ac:dyDescent="0.2">
      <c r="B98" s="41"/>
      <c r="C98" s="148" t="s">
        <v>7</v>
      </c>
      <c r="D98" s="150"/>
      <c r="H98" s="46"/>
      <c r="J98" s="44"/>
      <c r="L98" s="44"/>
      <c r="M98" s="44"/>
      <c r="N98" s="44"/>
      <c r="O98" s="44"/>
      <c r="P98" s="44"/>
      <c r="Q98" s="44"/>
      <c r="R98" s="44"/>
    </row>
    <row r="99" spans="1:18 2096:2096" ht="13.5" customHeight="1" x14ac:dyDescent="0.2">
      <c r="A99" s="41"/>
      <c r="B99" s="41"/>
      <c r="C99" s="148" t="s">
        <v>22</v>
      </c>
      <c r="D99" s="151"/>
      <c r="H99" s="41"/>
      <c r="J99" s="44"/>
      <c r="L99" s="44"/>
      <c r="M99" s="44"/>
      <c r="N99" s="44"/>
      <c r="O99" s="44"/>
      <c r="P99" s="44"/>
      <c r="Q99" s="44"/>
      <c r="R99" s="44"/>
    </row>
    <row r="100" spans="1:18 2096:2096" ht="13.5" customHeight="1" x14ac:dyDescent="0.2">
      <c r="J100" s="44"/>
      <c r="L100" s="44"/>
      <c r="M100" s="44"/>
      <c r="N100" s="44"/>
      <c r="O100" s="44"/>
      <c r="P100" s="44"/>
      <c r="Q100" s="44"/>
      <c r="R100" s="44"/>
    </row>
    <row r="101" spans="1:18 2096:2096" ht="13.5" customHeight="1" x14ac:dyDescent="0.2">
      <c r="C101" s="148" t="s">
        <v>57</v>
      </c>
      <c r="D101" s="148" t="s">
        <v>54</v>
      </c>
      <c r="E101" s="148" t="s">
        <v>2</v>
      </c>
      <c r="F101" s="148" t="s">
        <v>3</v>
      </c>
      <c r="G101" s="148" t="s">
        <v>42</v>
      </c>
      <c r="J101" s="44"/>
      <c r="L101" s="44"/>
      <c r="M101" s="44"/>
      <c r="N101" s="44"/>
      <c r="O101" s="44"/>
      <c r="P101" s="44"/>
      <c r="Q101" s="44"/>
      <c r="R101" s="44"/>
    </row>
    <row r="102" spans="1:18 2096:2096" ht="13.5" customHeight="1" x14ac:dyDescent="0.2">
      <c r="B102" s="26"/>
      <c r="C102" s="149"/>
      <c r="D102" s="149"/>
      <c r="E102" s="149"/>
      <c r="F102" s="149"/>
      <c r="G102" s="149"/>
      <c r="J102" s="44"/>
      <c r="L102" s="44"/>
      <c r="M102" s="44"/>
      <c r="N102" s="44"/>
      <c r="O102" s="44"/>
      <c r="P102" s="44"/>
      <c r="Q102" s="44"/>
      <c r="R102" s="44"/>
    </row>
    <row r="103" spans="1:18 2096:2096" ht="13.5" customHeight="1" x14ac:dyDescent="0.2">
      <c r="C103" s="149"/>
      <c r="D103" s="149"/>
      <c r="E103" s="149"/>
      <c r="F103" s="149"/>
      <c r="G103" s="149"/>
      <c r="H103" s="47"/>
      <c r="J103" s="44"/>
      <c r="L103" s="44"/>
      <c r="M103" s="44"/>
      <c r="N103" s="44"/>
      <c r="O103" s="44"/>
      <c r="P103" s="44"/>
      <c r="Q103" s="44"/>
      <c r="R103" s="44"/>
    </row>
    <row r="104" spans="1:18 2096:2096" ht="13.5" customHeight="1" x14ac:dyDescent="0.2">
      <c r="C104" s="149"/>
      <c r="D104" s="149"/>
      <c r="E104" s="149"/>
      <c r="F104" s="149"/>
      <c r="G104" s="149"/>
      <c r="H104" s="47"/>
      <c r="J104" s="44"/>
      <c r="L104" s="44"/>
      <c r="M104" s="44"/>
      <c r="N104" s="44"/>
      <c r="O104" s="44"/>
      <c r="P104" s="44"/>
      <c r="Q104" s="44"/>
      <c r="R104" s="44"/>
    </row>
    <row r="105" spans="1:18 2096:2096" ht="13.5" customHeight="1" x14ac:dyDescent="0.2">
      <c r="C105" s="149"/>
      <c r="D105" s="149"/>
      <c r="E105" s="149"/>
      <c r="F105" s="149"/>
      <c r="G105" s="149"/>
      <c r="H105" s="47"/>
      <c r="J105" s="44"/>
      <c r="L105" s="44"/>
      <c r="M105" s="44"/>
      <c r="N105" s="44"/>
      <c r="O105" s="44"/>
      <c r="P105" s="44"/>
      <c r="Q105" s="44"/>
      <c r="R105" s="44"/>
    </row>
    <row r="106" spans="1:18 2096:2096" ht="13.5" customHeight="1" x14ac:dyDescent="0.2">
      <c r="C106" s="149"/>
      <c r="D106" s="149"/>
      <c r="E106" s="149"/>
      <c r="F106" s="149"/>
      <c r="G106" s="149"/>
      <c r="H106" s="47"/>
      <c r="J106" s="44"/>
      <c r="L106" s="44"/>
      <c r="M106" s="44"/>
      <c r="N106" s="44"/>
      <c r="O106" s="44"/>
      <c r="P106" s="44"/>
      <c r="Q106" s="44"/>
      <c r="R106" s="44"/>
      <c r="CBP106" s="85"/>
    </row>
    <row r="107" spans="1:18 2096:2096" ht="13.5" customHeight="1" x14ac:dyDescent="0.2">
      <c r="C107" s="149"/>
      <c r="D107" s="149"/>
      <c r="E107" s="149"/>
      <c r="F107" s="149"/>
      <c r="G107" s="149"/>
      <c r="H107" s="47"/>
      <c r="J107" s="44"/>
      <c r="L107" s="44"/>
      <c r="M107" s="44"/>
      <c r="N107" s="44"/>
      <c r="O107" s="44"/>
      <c r="P107" s="44"/>
      <c r="Q107" s="44"/>
      <c r="R107" s="44"/>
    </row>
    <row r="108" spans="1:18 2096:2096" ht="13.5" customHeight="1" x14ac:dyDescent="0.2">
      <c r="C108" s="149"/>
      <c r="D108" s="149"/>
      <c r="E108" s="149"/>
      <c r="F108" s="149"/>
      <c r="G108" s="149"/>
      <c r="H108" s="47"/>
      <c r="J108" s="44"/>
      <c r="L108" s="44"/>
      <c r="M108" s="44"/>
      <c r="N108" s="44"/>
      <c r="O108" s="44"/>
      <c r="P108" s="44"/>
      <c r="Q108" s="44"/>
      <c r="R108" s="44"/>
    </row>
    <row r="109" spans="1:18 2096:2096" ht="13.5" customHeight="1" x14ac:dyDescent="0.2">
      <c r="C109" s="149"/>
      <c r="D109" s="149"/>
      <c r="E109" s="149"/>
      <c r="F109" s="149"/>
      <c r="G109" s="149"/>
      <c r="H109" s="47"/>
      <c r="J109" s="44"/>
      <c r="L109" s="44"/>
      <c r="M109" s="44"/>
      <c r="N109" s="44"/>
      <c r="O109" s="44"/>
      <c r="P109" s="44"/>
      <c r="Q109" s="44"/>
      <c r="R109" s="44"/>
    </row>
    <row r="110" spans="1:18 2096:2096" ht="13.5" customHeight="1" x14ac:dyDescent="0.2">
      <c r="C110" s="149"/>
      <c r="D110" s="149"/>
      <c r="E110" s="149"/>
      <c r="F110" s="149"/>
      <c r="G110" s="149"/>
      <c r="H110" s="47"/>
      <c r="J110" s="44"/>
      <c r="L110" s="44"/>
      <c r="M110" s="44"/>
      <c r="N110" s="44"/>
      <c r="O110" s="44"/>
      <c r="P110" s="44"/>
      <c r="Q110" s="44"/>
      <c r="R110" s="44"/>
    </row>
    <row r="111" spans="1:18 2096:2096" ht="13.5" customHeight="1" x14ac:dyDescent="0.2">
      <c r="C111" s="149"/>
      <c r="D111" s="149"/>
      <c r="E111" s="149"/>
      <c r="F111" s="149"/>
      <c r="G111" s="149"/>
      <c r="H111" s="47"/>
      <c r="I111" s="148" t="s">
        <v>56</v>
      </c>
      <c r="J111" s="148">
        <f>Startår</f>
        <v>2022</v>
      </c>
      <c r="K111" s="148">
        <f>J111+1</f>
        <v>2023</v>
      </c>
      <c r="L111" s="148">
        <f>K111+1</f>
        <v>2024</v>
      </c>
      <c r="M111" s="148">
        <f>L111+1</f>
        <v>2025</v>
      </c>
      <c r="N111" s="148">
        <f>M111+1</f>
        <v>2026</v>
      </c>
      <c r="O111" s="148">
        <f>N111+1</f>
        <v>2027</v>
      </c>
      <c r="P111" s="148" t="s">
        <v>10</v>
      </c>
      <c r="Q111" s="44"/>
      <c r="R111" s="44"/>
    </row>
    <row r="112" spans="1:18 2096:2096" ht="13.5" customHeight="1" thickBot="1" x14ac:dyDescent="0.25">
      <c r="C112" s="149"/>
      <c r="D112" s="149"/>
      <c r="E112" s="149"/>
      <c r="F112" s="149"/>
      <c r="G112" s="149"/>
      <c r="H112" s="47"/>
      <c r="I112" s="148" t="s">
        <v>15</v>
      </c>
      <c r="J112" s="152"/>
      <c r="K112" s="152"/>
      <c r="L112" s="152"/>
      <c r="M112" s="152"/>
      <c r="N112" s="152"/>
      <c r="O112" s="152"/>
      <c r="P112" s="154">
        <f>SUM(K112:O112)</f>
        <v>0</v>
      </c>
      <c r="Q112" s="44"/>
      <c r="R112" s="44"/>
    </row>
    <row r="113" spans="1:18" ht="13.5" customHeight="1" thickTop="1" thickBot="1" x14ac:dyDescent="0.25">
      <c r="C113" s="149"/>
      <c r="D113" s="149"/>
      <c r="E113" s="149"/>
      <c r="F113" s="149"/>
      <c r="G113" s="149"/>
      <c r="H113" s="47"/>
      <c r="I113" s="148" t="s">
        <v>55</v>
      </c>
      <c r="J113" s="152"/>
      <c r="K113" s="152"/>
      <c r="L113" s="152"/>
      <c r="M113" s="152"/>
      <c r="N113" s="152"/>
      <c r="O113" s="152"/>
      <c r="P113" s="155">
        <f>SUM(K113:O113)</f>
        <v>0</v>
      </c>
      <c r="Q113" s="44"/>
      <c r="R113" s="44"/>
    </row>
    <row r="114" spans="1:18" ht="13.5" customHeight="1" thickTop="1" thickBot="1" x14ac:dyDescent="0.25">
      <c r="C114" s="158"/>
      <c r="D114" s="158"/>
      <c r="E114" s="158"/>
      <c r="F114" s="158"/>
      <c r="G114" s="158"/>
      <c r="H114" s="47"/>
      <c r="I114" s="148" t="s">
        <v>3</v>
      </c>
      <c r="J114" s="152"/>
      <c r="K114" s="152"/>
      <c r="L114" s="152"/>
      <c r="M114" s="152"/>
      <c r="N114" s="152"/>
      <c r="O114" s="152"/>
      <c r="P114" s="153">
        <f>SUM(K114:O114)</f>
        <v>0</v>
      </c>
      <c r="Q114" s="44"/>
      <c r="R114" s="44"/>
    </row>
    <row r="115" spans="1:18" ht="13.5" customHeight="1" thickTop="1" x14ac:dyDescent="0.2">
      <c r="C115" s="156" t="s">
        <v>70</v>
      </c>
      <c r="D115" s="190"/>
      <c r="E115" s="190"/>
      <c r="F115" s="190"/>
      <c r="G115" s="48"/>
      <c r="H115" s="48"/>
      <c r="Q115" s="44"/>
      <c r="R115" s="44"/>
    </row>
    <row r="116" spans="1:18" ht="13.5" customHeight="1" x14ac:dyDescent="0.2">
      <c r="Q116" s="44"/>
      <c r="R116" s="44"/>
    </row>
    <row r="117" spans="1:18" ht="13.5" customHeight="1" x14ac:dyDescent="0.2">
      <c r="Q117" s="44"/>
      <c r="R117" s="44"/>
    </row>
    <row r="118" spans="1:18" ht="13.5" customHeight="1" x14ac:dyDescent="0.2">
      <c r="Q118" s="44"/>
      <c r="R118" s="44"/>
    </row>
    <row r="119" spans="1:18" ht="13.5" customHeight="1" x14ac:dyDescent="0.2">
      <c r="I119" s="53"/>
      <c r="J119" s="54"/>
      <c r="K119" s="54"/>
      <c r="L119" s="54"/>
      <c r="P119" s="34"/>
      <c r="Q119" s="44"/>
      <c r="R119" s="44"/>
    </row>
    <row r="120" spans="1:18" ht="13.5" customHeight="1" x14ac:dyDescent="0.2">
      <c r="A120" s="148">
        <v>6</v>
      </c>
      <c r="B120" s="41"/>
      <c r="C120" s="148" t="s">
        <v>64</v>
      </c>
      <c r="D120" s="186"/>
      <c r="E120" s="187"/>
      <c r="F120" s="188"/>
      <c r="G120" s="189"/>
      <c r="H120" s="41"/>
      <c r="J120" s="44"/>
      <c r="L120" s="44"/>
      <c r="M120" s="44"/>
      <c r="N120" s="44"/>
      <c r="O120" s="44"/>
      <c r="P120" s="44"/>
      <c r="Q120" s="44"/>
      <c r="R120" s="44"/>
    </row>
    <row r="121" spans="1:18" ht="13.5" customHeight="1" x14ac:dyDescent="0.2">
      <c r="A121" s="41"/>
      <c r="B121" s="41"/>
      <c r="C121" s="148" t="s">
        <v>7</v>
      </c>
      <c r="D121" s="150"/>
      <c r="H121" s="46"/>
      <c r="J121" s="44"/>
      <c r="L121" s="44"/>
      <c r="M121" s="44"/>
      <c r="N121" s="44"/>
      <c r="O121" s="44"/>
      <c r="P121" s="44"/>
      <c r="Q121" s="44"/>
      <c r="R121" s="44"/>
    </row>
    <row r="122" spans="1:18" ht="13.5" customHeight="1" x14ac:dyDescent="0.2">
      <c r="B122" s="41"/>
      <c r="C122" s="148" t="s">
        <v>22</v>
      </c>
      <c r="D122" s="151"/>
      <c r="H122" s="41"/>
      <c r="J122" s="44"/>
      <c r="L122" s="44"/>
      <c r="M122" s="44"/>
      <c r="N122" s="44"/>
      <c r="O122" s="44"/>
      <c r="P122" s="44"/>
      <c r="Q122" s="44"/>
      <c r="R122" s="44"/>
    </row>
    <row r="123" spans="1:18" ht="13.5" customHeight="1" x14ac:dyDescent="0.2">
      <c r="J123" s="44"/>
      <c r="L123" s="44"/>
      <c r="M123" s="44"/>
      <c r="N123" s="44"/>
      <c r="O123" s="44"/>
      <c r="P123" s="44"/>
      <c r="Q123" s="44"/>
      <c r="R123" s="44"/>
    </row>
    <row r="124" spans="1:18" ht="13.5" customHeight="1" x14ac:dyDescent="0.2">
      <c r="C124" s="148" t="s">
        <v>57</v>
      </c>
      <c r="D124" s="148" t="s">
        <v>54</v>
      </c>
      <c r="E124" s="148" t="s">
        <v>2</v>
      </c>
      <c r="F124" s="148" t="s">
        <v>3</v>
      </c>
      <c r="G124" s="148" t="s">
        <v>42</v>
      </c>
      <c r="J124" s="44"/>
      <c r="L124" s="44"/>
      <c r="M124" s="44"/>
      <c r="N124" s="44"/>
      <c r="O124" s="44"/>
      <c r="P124" s="44"/>
      <c r="Q124" s="44"/>
      <c r="R124" s="44"/>
    </row>
    <row r="125" spans="1:18" ht="13.5" customHeight="1" x14ac:dyDescent="0.2">
      <c r="B125" s="26"/>
      <c r="C125" s="149"/>
      <c r="D125" s="150"/>
      <c r="E125" s="150"/>
      <c r="F125" s="150"/>
      <c r="G125" s="149"/>
      <c r="J125" s="44"/>
      <c r="L125" s="44"/>
      <c r="M125" s="44"/>
      <c r="N125" s="44"/>
      <c r="O125" s="44"/>
      <c r="P125" s="44"/>
      <c r="Q125" s="44"/>
      <c r="R125" s="44"/>
    </row>
    <row r="126" spans="1:18" ht="13.5" customHeight="1" x14ac:dyDescent="0.2">
      <c r="C126" s="149"/>
      <c r="D126" s="150"/>
      <c r="E126" s="150"/>
      <c r="F126" s="150"/>
      <c r="G126" s="149"/>
      <c r="H126" s="47"/>
      <c r="J126" s="44"/>
      <c r="L126" s="44"/>
      <c r="M126" s="44"/>
      <c r="N126" s="44"/>
      <c r="O126" s="44"/>
      <c r="P126" s="44"/>
      <c r="Q126" s="44"/>
      <c r="R126" s="44"/>
    </row>
    <row r="127" spans="1:18" ht="13.5" customHeight="1" x14ac:dyDescent="0.2">
      <c r="C127" s="149"/>
      <c r="D127" s="150"/>
      <c r="E127" s="150"/>
      <c r="F127" s="150"/>
      <c r="G127" s="149"/>
      <c r="H127" s="47"/>
      <c r="J127" s="44"/>
      <c r="L127" s="44"/>
      <c r="M127" s="44"/>
      <c r="N127" s="44"/>
      <c r="O127" s="44"/>
      <c r="P127" s="44"/>
      <c r="Q127" s="44"/>
      <c r="R127" s="44"/>
    </row>
    <row r="128" spans="1:18" ht="13.5" customHeight="1" x14ac:dyDescent="0.2">
      <c r="C128" s="149"/>
      <c r="D128" s="150"/>
      <c r="E128" s="150"/>
      <c r="F128" s="150"/>
      <c r="G128" s="149"/>
      <c r="H128" s="47"/>
      <c r="J128" s="44"/>
      <c r="L128" s="44"/>
      <c r="M128" s="44"/>
      <c r="N128" s="44"/>
      <c r="O128" s="44"/>
      <c r="P128" s="44"/>
      <c r="Q128" s="44"/>
      <c r="R128" s="44"/>
    </row>
    <row r="129" spans="1:18" ht="13.5" customHeight="1" x14ac:dyDescent="0.2">
      <c r="C129" s="149"/>
      <c r="D129" s="150"/>
      <c r="E129" s="150"/>
      <c r="F129" s="150"/>
      <c r="G129" s="149"/>
      <c r="H129" s="47"/>
      <c r="J129" s="44"/>
      <c r="L129" s="44"/>
      <c r="M129" s="44"/>
      <c r="N129" s="44"/>
      <c r="O129" s="44"/>
      <c r="P129" s="44"/>
      <c r="Q129" s="44"/>
      <c r="R129" s="44"/>
    </row>
    <row r="130" spans="1:18" ht="13.5" customHeight="1" x14ac:dyDescent="0.2">
      <c r="C130" s="149"/>
      <c r="D130" s="150"/>
      <c r="E130" s="150"/>
      <c r="F130" s="150"/>
      <c r="G130" s="149"/>
      <c r="H130" s="47"/>
      <c r="J130" s="44"/>
      <c r="L130" s="44"/>
      <c r="M130" s="44"/>
      <c r="N130" s="44"/>
      <c r="O130" s="44"/>
      <c r="P130" s="44"/>
      <c r="Q130" s="44"/>
      <c r="R130" s="44"/>
    </row>
    <row r="131" spans="1:18" ht="13.5" customHeight="1" x14ac:dyDescent="0.2">
      <c r="C131" s="149"/>
      <c r="D131" s="150"/>
      <c r="E131" s="150"/>
      <c r="F131" s="150"/>
      <c r="G131" s="149"/>
      <c r="H131" s="47"/>
      <c r="J131" s="44"/>
      <c r="L131" s="44"/>
      <c r="M131" s="44"/>
      <c r="N131" s="44"/>
      <c r="O131" s="44"/>
      <c r="P131" s="44"/>
      <c r="Q131" s="44"/>
      <c r="R131" s="44"/>
    </row>
    <row r="132" spans="1:18" ht="13.5" customHeight="1" x14ac:dyDescent="0.2">
      <c r="C132" s="149"/>
      <c r="D132" s="150"/>
      <c r="E132" s="150"/>
      <c r="F132" s="150"/>
      <c r="G132" s="149"/>
      <c r="H132" s="47"/>
      <c r="J132" s="44"/>
      <c r="L132" s="44"/>
      <c r="M132" s="44"/>
      <c r="N132" s="44"/>
      <c r="O132" s="44"/>
      <c r="P132" s="44"/>
      <c r="Q132" s="44"/>
      <c r="R132" s="44"/>
    </row>
    <row r="133" spans="1:18" ht="13.5" customHeight="1" x14ac:dyDescent="0.2">
      <c r="C133" s="149"/>
      <c r="D133" s="150"/>
      <c r="E133" s="150"/>
      <c r="F133" s="150"/>
      <c r="G133" s="149"/>
      <c r="H133" s="47"/>
      <c r="J133" s="44"/>
      <c r="L133" s="44"/>
      <c r="M133" s="44"/>
      <c r="N133" s="44"/>
      <c r="O133" s="44"/>
      <c r="P133" s="44"/>
      <c r="Q133" s="44"/>
      <c r="R133" s="44"/>
    </row>
    <row r="134" spans="1:18" ht="13.5" customHeight="1" x14ac:dyDescent="0.2">
      <c r="C134" s="149"/>
      <c r="D134" s="150"/>
      <c r="E134" s="150"/>
      <c r="F134" s="150"/>
      <c r="G134" s="149"/>
      <c r="H134" s="47"/>
      <c r="I134" s="148" t="s">
        <v>56</v>
      </c>
      <c r="J134" s="148">
        <f>Startår</f>
        <v>2022</v>
      </c>
      <c r="K134" s="148">
        <f>J134+1</f>
        <v>2023</v>
      </c>
      <c r="L134" s="148">
        <f>K134+1</f>
        <v>2024</v>
      </c>
      <c r="M134" s="148">
        <f>L134+1</f>
        <v>2025</v>
      </c>
      <c r="N134" s="148">
        <f>M134+1</f>
        <v>2026</v>
      </c>
      <c r="O134" s="148">
        <f>N134+1</f>
        <v>2027</v>
      </c>
      <c r="P134" s="148" t="s">
        <v>10</v>
      </c>
      <c r="Q134" s="44"/>
      <c r="R134" s="44"/>
    </row>
    <row r="135" spans="1:18" ht="13.5" customHeight="1" thickBot="1" x14ac:dyDescent="0.25">
      <c r="C135" s="149"/>
      <c r="D135" s="150"/>
      <c r="E135" s="150"/>
      <c r="F135" s="150"/>
      <c r="G135" s="149"/>
      <c r="H135" s="47"/>
      <c r="I135" s="148" t="s">
        <v>15</v>
      </c>
      <c r="J135" s="152"/>
      <c r="K135" s="152"/>
      <c r="L135" s="152"/>
      <c r="M135" s="152"/>
      <c r="N135" s="152"/>
      <c r="O135" s="152"/>
      <c r="P135" s="154">
        <f>SUM(J135:O135)</f>
        <v>0</v>
      </c>
      <c r="Q135" s="44"/>
      <c r="R135" s="44"/>
    </row>
    <row r="136" spans="1:18" ht="13.5" customHeight="1" thickTop="1" thickBot="1" x14ac:dyDescent="0.25">
      <c r="C136" s="149"/>
      <c r="D136" s="150"/>
      <c r="E136" s="150"/>
      <c r="F136" s="150"/>
      <c r="G136" s="149"/>
      <c r="H136" s="47"/>
      <c r="I136" s="148" t="s">
        <v>55</v>
      </c>
      <c r="J136" s="152"/>
      <c r="K136" s="152"/>
      <c r="L136" s="152"/>
      <c r="M136" s="152"/>
      <c r="N136" s="152"/>
      <c r="O136" s="152"/>
      <c r="P136" s="155">
        <f>SUM(J136:O136)</f>
        <v>0</v>
      </c>
      <c r="Q136" s="44"/>
      <c r="R136" s="44"/>
    </row>
    <row r="137" spans="1:18" ht="13.5" customHeight="1" thickTop="1" thickBot="1" x14ac:dyDescent="0.25">
      <c r="C137" s="158"/>
      <c r="D137" s="159"/>
      <c r="E137" s="159"/>
      <c r="F137" s="159"/>
      <c r="G137" s="158"/>
      <c r="H137" s="47"/>
      <c r="I137" s="148" t="s">
        <v>3</v>
      </c>
      <c r="J137" s="152"/>
      <c r="K137" s="152"/>
      <c r="L137" s="152"/>
      <c r="M137" s="152"/>
      <c r="N137" s="152"/>
      <c r="O137" s="152"/>
      <c r="P137" s="153">
        <f>SUM(J137:O137)</f>
        <v>0</v>
      </c>
      <c r="Q137" s="44"/>
      <c r="R137" s="44"/>
    </row>
    <row r="138" spans="1:18" ht="13.5" customHeight="1" thickTop="1" x14ac:dyDescent="0.2">
      <c r="C138" s="156" t="s">
        <v>70</v>
      </c>
      <c r="D138" s="157"/>
      <c r="E138" s="157"/>
      <c r="F138" s="157"/>
      <c r="G138" s="48"/>
      <c r="H138" s="48"/>
      <c r="Q138" s="44"/>
      <c r="R138" s="44"/>
    </row>
    <row r="139" spans="1:18" ht="13.5" customHeight="1" x14ac:dyDescent="0.2">
      <c r="Q139" s="44"/>
      <c r="R139" s="44"/>
    </row>
    <row r="140" spans="1:18" ht="13.5" customHeight="1" x14ac:dyDescent="0.2">
      <c r="Q140" s="44"/>
      <c r="R140" s="44"/>
    </row>
    <row r="141" spans="1:18" ht="13.5" customHeight="1" x14ac:dyDescent="0.2">
      <c r="Q141" s="44"/>
      <c r="R141" s="44"/>
    </row>
    <row r="142" spans="1:18" ht="13.5" customHeight="1" x14ac:dyDescent="0.2">
      <c r="B142" s="26"/>
      <c r="I142" s="53"/>
      <c r="J142" s="54"/>
      <c r="K142" s="54"/>
      <c r="L142" s="54"/>
      <c r="P142" s="34"/>
      <c r="Q142" s="44"/>
      <c r="R142" s="44"/>
    </row>
    <row r="143" spans="1:18" ht="13.5" customHeight="1" x14ac:dyDescent="0.2">
      <c r="A143" s="148">
        <v>7</v>
      </c>
      <c r="B143" s="41"/>
      <c r="C143" s="148" t="s">
        <v>64</v>
      </c>
      <c r="D143" s="186"/>
      <c r="E143" s="187"/>
      <c r="F143" s="188"/>
      <c r="G143" s="189"/>
      <c r="H143" s="41"/>
      <c r="J143" s="44"/>
      <c r="L143" s="44"/>
      <c r="M143" s="44"/>
      <c r="N143" s="44"/>
      <c r="O143" s="44"/>
      <c r="P143" s="44"/>
      <c r="Q143" s="44"/>
      <c r="R143" s="44"/>
    </row>
    <row r="144" spans="1:18" ht="13.5" customHeight="1" x14ac:dyDescent="0.2">
      <c r="B144" s="41"/>
      <c r="C144" s="148" t="s">
        <v>7</v>
      </c>
      <c r="D144" s="150"/>
      <c r="H144" s="46"/>
      <c r="J144" s="44"/>
      <c r="L144" s="44"/>
      <c r="M144" s="44"/>
      <c r="N144" s="44"/>
      <c r="O144" s="44"/>
      <c r="P144" s="44"/>
      <c r="Q144" s="44"/>
      <c r="R144" s="44"/>
    </row>
    <row r="145" spans="1:18" ht="13.5" customHeight="1" x14ac:dyDescent="0.2">
      <c r="A145" s="41"/>
      <c r="B145" s="41"/>
      <c r="C145" s="148" t="s">
        <v>22</v>
      </c>
      <c r="D145" s="151"/>
      <c r="H145" s="41"/>
      <c r="J145" s="44"/>
      <c r="L145" s="44"/>
      <c r="M145" s="44"/>
      <c r="N145" s="44"/>
      <c r="O145" s="44"/>
      <c r="P145" s="44"/>
      <c r="Q145" s="44"/>
      <c r="R145" s="44"/>
    </row>
    <row r="146" spans="1:18" ht="13.5" customHeight="1" x14ac:dyDescent="0.2">
      <c r="J146" s="44"/>
      <c r="L146" s="44"/>
      <c r="M146" s="44"/>
      <c r="N146" s="44"/>
      <c r="O146" s="44"/>
      <c r="P146" s="44"/>
      <c r="Q146" s="44"/>
      <c r="R146" s="44"/>
    </row>
    <row r="147" spans="1:18" ht="13.5" customHeight="1" x14ac:dyDescent="0.2">
      <c r="C147" s="148" t="s">
        <v>57</v>
      </c>
      <c r="D147" s="148" t="s">
        <v>54</v>
      </c>
      <c r="E147" s="148" t="s">
        <v>2</v>
      </c>
      <c r="F147" s="148" t="s">
        <v>3</v>
      </c>
      <c r="G147" s="148" t="s">
        <v>42</v>
      </c>
      <c r="J147" s="44"/>
      <c r="L147" s="44"/>
      <c r="M147" s="44"/>
      <c r="N147" s="44"/>
      <c r="O147" s="44"/>
      <c r="P147" s="44"/>
      <c r="Q147" s="44"/>
      <c r="R147" s="44"/>
    </row>
    <row r="148" spans="1:18" ht="13.5" customHeight="1" x14ac:dyDescent="0.2">
      <c r="B148" s="26"/>
      <c r="C148" s="149"/>
      <c r="D148" s="150"/>
      <c r="E148" s="150"/>
      <c r="F148" s="150"/>
      <c r="G148" s="149"/>
      <c r="J148" s="44"/>
      <c r="L148" s="44"/>
      <c r="M148" s="44"/>
      <c r="N148" s="44"/>
      <c r="O148" s="44"/>
      <c r="P148" s="44"/>
      <c r="Q148" s="44"/>
      <c r="R148" s="44"/>
    </row>
    <row r="149" spans="1:18" ht="13.5" customHeight="1" x14ac:dyDescent="0.2">
      <c r="C149" s="149"/>
      <c r="D149" s="150"/>
      <c r="E149" s="150"/>
      <c r="F149" s="150"/>
      <c r="G149" s="149"/>
      <c r="H149" s="47"/>
      <c r="J149" s="44"/>
      <c r="L149" s="44"/>
      <c r="M149" s="44"/>
      <c r="N149" s="44"/>
      <c r="O149" s="44"/>
      <c r="P149" s="44"/>
      <c r="Q149" s="44"/>
      <c r="R149" s="44"/>
    </row>
    <row r="150" spans="1:18" ht="13.5" customHeight="1" x14ac:dyDescent="0.2">
      <c r="C150" s="149"/>
      <c r="D150" s="150"/>
      <c r="E150" s="150"/>
      <c r="F150" s="150"/>
      <c r="G150" s="149"/>
      <c r="H150" s="47"/>
      <c r="J150" s="44"/>
      <c r="L150" s="44"/>
      <c r="M150" s="44"/>
      <c r="N150" s="44"/>
      <c r="O150" s="44"/>
      <c r="P150" s="44"/>
      <c r="Q150" s="44"/>
      <c r="R150" s="44"/>
    </row>
    <row r="151" spans="1:18" ht="13.5" customHeight="1" x14ac:dyDescent="0.2">
      <c r="C151" s="149"/>
      <c r="D151" s="150"/>
      <c r="E151" s="150"/>
      <c r="F151" s="150"/>
      <c r="G151" s="149"/>
      <c r="H151" s="47"/>
      <c r="J151" s="44"/>
      <c r="L151" s="44"/>
      <c r="M151" s="44"/>
      <c r="N151" s="44"/>
      <c r="O151" s="44"/>
      <c r="P151" s="44"/>
      <c r="Q151" s="44"/>
      <c r="R151" s="44"/>
    </row>
    <row r="152" spans="1:18" ht="13.5" customHeight="1" x14ac:dyDescent="0.2">
      <c r="C152" s="149"/>
      <c r="D152" s="150"/>
      <c r="E152" s="150"/>
      <c r="F152" s="150"/>
      <c r="G152" s="149"/>
      <c r="H152" s="47"/>
      <c r="J152" s="44"/>
      <c r="L152" s="44"/>
      <c r="M152" s="44"/>
      <c r="N152" s="44"/>
      <c r="O152" s="44"/>
      <c r="P152" s="44"/>
      <c r="Q152" s="44"/>
      <c r="R152" s="44"/>
    </row>
    <row r="153" spans="1:18" ht="13.5" customHeight="1" x14ac:dyDescent="0.2">
      <c r="C153" s="149"/>
      <c r="D153" s="150"/>
      <c r="E153" s="150"/>
      <c r="F153" s="150"/>
      <c r="G153" s="149"/>
      <c r="H153" s="47"/>
      <c r="J153" s="44"/>
      <c r="L153" s="44"/>
      <c r="M153" s="44"/>
      <c r="N153" s="44"/>
      <c r="O153" s="44"/>
      <c r="P153" s="44"/>
      <c r="Q153" s="44"/>
      <c r="R153" s="44"/>
    </row>
    <row r="154" spans="1:18" ht="13.5" customHeight="1" x14ac:dyDescent="0.2">
      <c r="C154" s="149"/>
      <c r="D154" s="150"/>
      <c r="E154" s="150"/>
      <c r="F154" s="150"/>
      <c r="G154" s="149"/>
      <c r="H154" s="47"/>
      <c r="J154" s="44"/>
      <c r="L154" s="44"/>
      <c r="M154" s="44"/>
      <c r="N154" s="44"/>
      <c r="O154" s="44"/>
      <c r="P154" s="44"/>
      <c r="Q154" s="44"/>
      <c r="R154" s="44"/>
    </row>
    <row r="155" spans="1:18" ht="13.5" customHeight="1" x14ac:dyDescent="0.2">
      <c r="C155" s="149"/>
      <c r="D155" s="150"/>
      <c r="E155" s="150"/>
      <c r="F155" s="150"/>
      <c r="G155" s="149"/>
      <c r="H155" s="47"/>
      <c r="J155" s="44"/>
      <c r="L155" s="44"/>
      <c r="M155" s="44"/>
      <c r="N155" s="44"/>
      <c r="O155" s="44"/>
      <c r="P155" s="44"/>
      <c r="Q155" s="44"/>
      <c r="R155" s="44"/>
    </row>
    <row r="156" spans="1:18" ht="13.5" customHeight="1" x14ac:dyDescent="0.2">
      <c r="C156" s="149"/>
      <c r="D156" s="150"/>
      <c r="E156" s="150"/>
      <c r="F156" s="150"/>
      <c r="G156" s="149"/>
      <c r="H156" s="47"/>
      <c r="J156" s="44"/>
      <c r="L156" s="44"/>
      <c r="M156" s="44"/>
      <c r="N156" s="44"/>
      <c r="O156" s="44"/>
      <c r="P156" s="44"/>
      <c r="Q156" s="44"/>
      <c r="R156" s="44"/>
    </row>
    <row r="157" spans="1:18" ht="13.5" customHeight="1" x14ac:dyDescent="0.2">
      <c r="C157" s="149"/>
      <c r="D157" s="150"/>
      <c r="E157" s="150"/>
      <c r="F157" s="150"/>
      <c r="G157" s="149"/>
      <c r="H157" s="47"/>
      <c r="I157" s="148" t="s">
        <v>56</v>
      </c>
      <c r="J157" s="148">
        <f>Startår</f>
        <v>2022</v>
      </c>
      <c r="K157" s="148">
        <f>J157+1</f>
        <v>2023</v>
      </c>
      <c r="L157" s="148">
        <f>K157+1</f>
        <v>2024</v>
      </c>
      <c r="M157" s="148">
        <f>L157+1</f>
        <v>2025</v>
      </c>
      <c r="N157" s="148">
        <f>M157+1</f>
        <v>2026</v>
      </c>
      <c r="O157" s="148">
        <f>N157+1</f>
        <v>2027</v>
      </c>
      <c r="P157" s="148" t="s">
        <v>10</v>
      </c>
      <c r="Q157" s="44"/>
      <c r="R157" s="44"/>
    </row>
    <row r="158" spans="1:18" ht="13.5" customHeight="1" thickBot="1" x14ac:dyDescent="0.25">
      <c r="C158" s="149"/>
      <c r="D158" s="150"/>
      <c r="E158" s="150"/>
      <c r="F158" s="150"/>
      <c r="G158" s="149"/>
      <c r="H158" s="47"/>
      <c r="I158" s="148" t="s">
        <v>15</v>
      </c>
      <c r="J158" s="152"/>
      <c r="K158" s="152"/>
      <c r="L158" s="152"/>
      <c r="M158" s="152"/>
      <c r="N158" s="152"/>
      <c r="O158" s="152"/>
      <c r="P158" s="154">
        <f>SUM(J158:O158)</f>
        <v>0</v>
      </c>
      <c r="Q158" s="44"/>
      <c r="R158" s="44"/>
    </row>
    <row r="159" spans="1:18" ht="13.5" customHeight="1" thickTop="1" thickBot="1" x14ac:dyDescent="0.25">
      <c r="C159" s="149"/>
      <c r="D159" s="150"/>
      <c r="E159" s="150"/>
      <c r="F159" s="150"/>
      <c r="G159" s="149"/>
      <c r="H159" s="47"/>
      <c r="I159" s="148" t="s">
        <v>55</v>
      </c>
      <c r="J159" s="152"/>
      <c r="K159" s="152"/>
      <c r="L159" s="152"/>
      <c r="M159" s="152"/>
      <c r="N159" s="152"/>
      <c r="O159" s="152"/>
      <c r="P159" s="155">
        <f>SUM(J159:O159)</f>
        <v>0</v>
      </c>
      <c r="Q159" s="44"/>
      <c r="R159" s="44"/>
    </row>
    <row r="160" spans="1:18" ht="13.5" customHeight="1" thickTop="1" thickBot="1" x14ac:dyDescent="0.25">
      <c r="C160" s="158"/>
      <c r="D160" s="159"/>
      <c r="E160" s="159"/>
      <c r="F160" s="159"/>
      <c r="G160" s="158"/>
      <c r="H160" s="47"/>
      <c r="I160" s="148" t="s">
        <v>3</v>
      </c>
      <c r="J160" s="152"/>
      <c r="K160" s="152"/>
      <c r="L160" s="152"/>
      <c r="M160" s="152"/>
      <c r="N160" s="152"/>
      <c r="O160" s="152"/>
      <c r="P160" s="153">
        <f>SUM(J160:O160)</f>
        <v>0</v>
      </c>
      <c r="Q160" s="44"/>
      <c r="R160" s="44"/>
    </row>
    <row r="161" spans="1:18" ht="13.5" customHeight="1" thickTop="1" x14ac:dyDescent="0.2">
      <c r="C161" s="156" t="s">
        <v>70</v>
      </c>
      <c r="D161" s="157"/>
      <c r="E161" s="157"/>
      <c r="F161" s="157"/>
      <c r="G161" s="48"/>
      <c r="H161" s="48"/>
      <c r="Q161" s="44"/>
      <c r="R161" s="44"/>
    </row>
    <row r="162" spans="1:18" ht="13.5" customHeight="1" x14ac:dyDescent="0.2">
      <c r="Q162" s="44"/>
      <c r="R162" s="44"/>
    </row>
    <row r="163" spans="1:18" ht="13.5" customHeight="1" x14ac:dyDescent="0.2">
      <c r="Q163" s="44"/>
      <c r="R163" s="44"/>
    </row>
    <row r="164" spans="1:18" ht="13.5" customHeight="1" x14ac:dyDescent="0.2">
      <c r="B164" s="26"/>
      <c r="Q164" s="44"/>
      <c r="R164" s="44"/>
    </row>
    <row r="165" spans="1:18" ht="13.5" customHeight="1" x14ac:dyDescent="0.2">
      <c r="I165" s="53"/>
      <c r="J165" s="54"/>
      <c r="K165" s="54"/>
      <c r="L165" s="54"/>
      <c r="P165" s="34"/>
      <c r="Q165" s="44"/>
      <c r="R165" s="44"/>
    </row>
    <row r="166" spans="1:18" ht="13.5" customHeight="1" x14ac:dyDescent="0.2">
      <c r="A166" s="148">
        <v>8</v>
      </c>
      <c r="B166" s="41"/>
      <c r="C166" s="148" t="s">
        <v>64</v>
      </c>
      <c r="D166" s="186"/>
      <c r="E166" s="187"/>
      <c r="F166" s="188"/>
      <c r="G166" s="189"/>
      <c r="H166" s="41"/>
      <c r="J166" s="44"/>
      <c r="L166" s="44"/>
      <c r="M166" s="44"/>
      <c r="N166" s="44"/>
      <c r="O166" s="44"/>
      <c r="P166" s="44"/>
      <c r="Q166" s="44"/>
      <c r="R166" s="44"/>
    </row>
    <row r="167" spans="1:18" ht="13.5" customHeight="1" x14ac:dyDescent="0.2">
      <c r="A167" s="41"/>
      <c r="B167" s="41"/>
      <c r="C167" s="148" t="s">
        <v>7</v>
      </c>
      <c r="D167" s="150"/>
      <c r="H167" s="46"/>
      <c r="J167" s="44"/>
      <c r="L167" s="44"/>
      <c r="M167" s="44"/>
      <c r="N167" s="44"/>
      <c r="O167" s="44"/>
      <c r="P167" s="44"/>
      <c r="Q167" s="44"/>
      <c r="R167" s="44"/>
    </row>
    <row r="168" spans="1:18" ht="13.5" customHeight="1" x14ac:dyDescent="0.2">
      <c r="B168" s="41"/>
      <c r="C168" s="148" t="s">
        <v>22</v>
      </c>
      <c r="D168" s="151"/>
      <c r="H168" s="41"/>
      <c r="J168" s="44"/>
      <c r="L168" s="44"/>
      <c r="M168" s="44"/>
      <c r="N168" s="44"/>
      <c r="O168" s="44"/>
      <c r="P168" s="44"/>
      <c r="Q168" s="44"/>
      <c r="R168" s="44"/>
    </row>
    <row r="169" spans="1:18" ht="13.5" customHeight="1" x14ac:dyDescent="0.2">
      <c r="J169" s="44"/>
      <c r="L169" s="44"/>
      <c r="M169" s="44"/>
      <c r="N169" s="44"/>
      <c r="O169" s="44"/>
      <c r="P169" s="44"/>
      <c r="Q169" s="44"/>
      <c r="R169" s="44"/>
    </row>
    <row r="170" spans="1:18" ht="13.5" customHeight="1" x14ac:dyDescent="0.2">
      <c r="C170" s="148" t="s">
        <v>57</v>
      </c>
      <c r="D170" s="148" t="s">
        <v>54</v>
      </c>
      <c r="E170" s="148" t="s">
        <v>2</v>
      </c>
      <c r="F170" s="148" t="s">
        <v>3</v>
      </c>
      <c r="G170" s="148" t="s">
        <v>42</v>
      </c>
      <c r="J170" s="44"/>
      <c r="L170" s="44"/>
      <c r="M170" s="44"/>
      <c r="N170" s="44"/>
      <c r="O170" s="44"/>
      <c r="P170" s="44"/>
      <c r="Q170" s="44"/>
      <c r="R170" s="44"/>
    </row>
    <row r="171" spans="1:18" ht="13.5" customHeight="1" x14ac:dyDescent="0.2">
      <c r="B171" s="26"/>
      <c r="C171" s="149"/>
      <c r="D171" s="150"/>
      <c r="E171" s="150"/>
      <c r="F171" s="150"/>
      <c r="G171" s="149"/>
      <c r="J171" s="44"/>
      <c r="L171" s="44"/>
      <c r="M171" s="44"/>
      <c r="N171" s="44"/>
      <c r="O171" s="44"/>
      <c r="P171" s="44"/>
      <c r="Q171" s="44"/>
      <c r="R171" s="44"/>
    </row>
    <row r="172" spans="1:18" ht="13.5" customHeight="1" x14ac:dyDescent="0.2">
      <c r="C172" s="149"/>
      <c r="D172" s="150"/>
      <c r="E172" s="150"/>
      <c r="F172" s="150"/>
      <c r="G172" s="149"/>
      <c r="H172" s="47"/>
      <c r="J172" s="44"/>
      <c r="L172" s="44"/>
      <c r="M172" s="44"/>
      <c r="N172" s="44"/>
      <c r="O172" s="44"/>
      <c r="P172" s="44"/>
      <c r="Q172" s="44"/>
      <c r="R172" s="44"/>
    </row>
    <row r="173" spans="1:18" ht="13.5" customHeight="1" x14ac:dyDescent="0.2">
      <c r="C173" s="149"/>
      <c r="D173" s="150"/>
      <c r="E173" s="150"/>
      <c r="F173" s="150"/>
      <c r="G173" s="149"/>
      <c r="H173" s="47"/>
      <c r="J173" s="44"/>
      <c r="L173" s="44"/>
      <c r="M173" s="44"/>
      <c r="N173" s="44"/>
      <c r="O173" s="44"/>
      <c r="P173" s="44"/>
      <c r="Q173" s="44"/>
      <c r="R173" s="44"/>
    </row>
    <row r="174" spans="1:18" ht="13.5" customHeight="1" x14ac:dyDescent="0.2">
      <c r="C174" s="149"/>
      <c r="D174" s="150"/>
      <c r="E174" s="150"/>
      <c r="F174" s="150"/>
      <c r="G174" s="149"/>
      <c r="H174" s="47"/>
      <c r="J174" s="44"/>
      <c r="L174" s="44"/>
      <c r="M174" s="44"/>
      <c r="N174" s="44"/>
      <c r="O174" s="44"/>
      <c r="P174" s="44"/>
      <c r="Q174" s="44"/>
      <c r="R174" s="44"/>
    </row>
    <row r="175" spans="1:18" ht="13.5" customHeight="1" x14ac:dyDescent="0.2">
      <c r="C175" s="149"/>
      <c r="D175" s="150"/>
      <c r="E175" s="150"/>
      <c r="F175" s="150"/>
      <c r="G175" s="149"/>
      <c r="H175" s="47"/>
      <c r="J175" s="44"/>
      <c r="L175" s="44"/>
      <c r="M175" s="44"/>
      <c r="N175" s="44"/>
      <c r="O175" s="44"/>
      <c r="P175" s="44"/>
      <c r="Q175" s="44"/>
      <c r="R175" s="44"/>
    </row>
    <row r="176" spans="1:18" ht="13.5" customHeight="1" x14ac:dyDescent="0.2">
      <c r="C176" s="149"/>
      <c r="D176" s="150"/>
      <c r="E176" s="150"/>
      <c r="F176" s="150"/>
      <c r="G176" s="149"/>
      <c r="H176" s="47"/>
      <c r="J176" s="44"/>
      <c r="L176" s="44"/>
      <c r="M176" s="44"/>
      <c r="N176" s="44"/>
      <c r="O176" s="44"/>
      <c r="P176" s="44"/>
      <c r="Q176" s="44"/>
      <c r="R176" s="44"/>
    </row>
    <row r="177" spans="1:18" ht="13.5" customHeight="1" x14ac:dyDescent="0.2">
      <c r="C177" s="149"/>
      <c r="D177" s="150"/>
      <c r="E177" s="150"/>
      <c r="F177" s="150"/>
      <c r="G177" s="149"/>
      <c r="H177" s="47"/>
      <c r="J177" s="44"/>
      <c r="L177" s="44"/>
      <c r="M177" s="44"/>
      <c r="N177" s="44"/>
      <c r="O177" s="44"/>
      <c r="P177" s="44"/>
      <c r="Q177" s="44"/>
      <c r="R177" s="44"/>
    </row>
    <row r="178" spans="1:18" ht="13.5" customHeight="1" x14ac:dyDescent="0.2">
      <c r="C178" s="149"/>
      <c r="D178" s="150"/>
      <c r="E178" s="150"/>
      <c r="F178" s="150"/>
      <c r="G178" s="149"/>
      <c r="H178" s="47"/>
      <c r="J178" s="44"/>
      <c r="L178" s="44"/>
      <c r="M178" s="44"/>
      <c r="N178" s="44"/>
      <c r="O178" s="44"/>
      <c r="P178" s="44"/>
      <c r="Q178" s="44"/>
      <c r="R178" s="44"/>
    </row>
    <row r="179" spans="1:18" ht="13.5" customHeight="1" x14ac:dyDescent="0.2">
      <c r="C179" s="149"/>
      <c r="D179" s="150"/>
      <c r="E179" s="150"/>
      <c r="F179" s="150"/>
      <c r="G179" s="149"/>
      <c r="H179" s="47"/>
      <c r="J179" s="44"/>
      <c r="L179" s="44"/>
      <c r="M179" s="44"/>
      <c r="N179" s="44"/>
      <c r="O179" s="44"/>
      <c r="P179" s="44"/>
      <c r="Q179" s="44"/>
      <c r="R179" s="44"/>
    </row>
    <row r="180" spans="1:18" ht="13.5" customHeight="1" x14ac:dyDescent="0.2">
      <c r="C180" s="149"/>
      <c r="D180" s="150"/>
      <c r="E180" s="150"/>
      <c r="F180" s="150"/>
      <c r="G180" s="149"/>
      <c r="H180" s="47"/>
      <c r="I180" s="148" t="s">
        <v>56</v>
      </c>
      <c r="J180" s="148">
        <f>Startår</f>
        <v>2022</v>
      </c>
      <c r="K180" s="148">
        <f>J180+1</f>
        <v>2023</v>
      </c>
      <c r="L180" s="148">
        <f>K180+1</f>
        <v>2024</v>
      </c>
      <c r="M180" s="148">
        <f>L180+1</f>
        <v>2025</v>
      </c>
      <c r="N180" s="148">
        <f>M180+1</f>
        <v>2026</v>
      </c>
      <c r="O180" s="148">
        <f>N180+1</f>
        <v>2027</v>
      </c>
      <c r="P180" s="148" t="s">
        <v>10</v>
      </c>
      <c r="Q180" s="44"/>
      <c r="R180" s="44"/>
    </row>
    <row r="181" spans="1:18" ht="13.5" customHeight="1" thickBot="1" x14ac:dyDescent="0.25">
      <c r="C181" s="149"/>
      <c r="D181" s="150"/>
      <c r="E181" s="150"/>
      <c r="F181" s="150"/>
      <c r="G181" s="149"/>
      <c r="H181" s="47"/>
      <c r="I181" s="148" t="s">
        <v>15</v>
      </c>
      <c r="J181" s="152"/>
      <c r="K181" s="152"/>
      <c r="L181" s="152"/>
      <c r="M181" s="152"/>
      <c r="N181" s="152"/>
      <c r="O181" s="152"/>
      <c r="P181" s="154">
        <f>SUM(J181:O181)</f>
        <v>0</v>
      </c>
      <c r="Q181" s="44"/>
      <c r="R181" s="44"/>
    </row>
    <row r="182" spans="1:18" ht="13.5" customHeight="1" thickTop="1" thickBot="1" x14ac:dyDescent="0.25">
      <c r="C182" s="149"/>
      <c r="D182" s="150"/>
      <c r="E182" s="150"/>
      <c r="F182" s="150"/>
      <c r="G182" s="149"/>
      <c r="H182" s="47"/>
      <c r="I182" s="148" t="s">
        <v>55</v>
      </c>
      <c r="J182" s="152"/>
      <c r="K182" s="152"/>
      <c r="L182" s="152"/>
      <c r="M182" s="152"/>
      <c r="N182" s="152"/>
      <c r="O182" s="152"/>
      <c r="P182" s="155">
        <f>SUM(J182:O182)</f>
        <v>0</v>
      </c>
      <c r="Q182" s="44"/>
      <c r="R182" s="44"/>
    </row>
    <row r="183" spans="1:18" ht="13.5" customHeight="1" thickTop="1" thickBot="1" x14ac:dyDescent="0.25">
      <c r="C183" s="158"/>
      <c r="D183" s="159"/>
      <c r="E183" s="159"/>
      <c r="F183" s="159"/>
      <c r="G183" s="158"/>
      <c r="H183" s="47"/>
      <c r="I183" s="148" t="s">
        <v>3</v>
      </c>
      <c r="J183" s="152"/>
      <c r="K183" s="152"/>
      <c r="L183" s="152"/>
      <c r="M183" s="152"/>
      <c r="N183" s="152"/>
      <c r="O183" s="152"/>
      <c r="P183" s="153">
        <f>SUM(J183:O183)</f>
        <v>0</v>
      </c>
      <c r="Q183" s="44"/>
      <c r="R183" s="44"/>
    </row>
    <row r="184" spans="1:18" ht="13.5" customHeight="1" thickTop="1" x14ac:dyDescent="0.2">
      <c r="C184" s="156" t="s">
        <v>70</v>
      </c>
      <c r="D184" s="157"/>
      <c r="E184" s="157"/>
      <c r="F184" s="157"/>
      <c r="G184" s="48"/>
      <c r="H184" s="48"/>
      <c r="Q184" s="44"/>
      <c r="R184" s="44"/>
    </row>
    <row r="185" spans="1:18" ht="13.5" customHeight="1" x14ac:dyDescent="0.2">
      <c r="Q185" s="44"/>
      <c r="R185" s="44"/>
    </row>
    <row r="186" spans="1:18" ht="13.5" customHeight="1" x14ac:dyDescent="0.2">
      <c r="B186" s="26"/>
      <c r="Q186" s="44"/>
      <c r="R186" s="44"/>
    </row>
    <row r="187" spans="1:18" ht="13.5" customHeight="1" x14ac:dyDescent="0.2">
      <c r="Q187" s="44"/>
      <c r="R187" s="44"/>
    </row>
    <row r="188" spans="1:18" ht="13.5" customHeight="1" x14ac:dyDescent="0.2">
      <c r="I188" s="53"/>
      <c r="J188" s="54"/>
      <c r="K188" s="54"/>
      <c r="L188" s="54"/>
      <c r="P188" s="34"/>
      <c r="Q188" s="44"/>
      <c r="R188" s="44"/>
    </row>
    <row r="189" spans="1:18" ht="13.5" customHeight="1" x14ac:dyDescent="0.2">
      <c r="A189" s="148">
        <v>9</v>
      </c>
      <c r="B189" s="41"/>
      <c r="C189" s="148" t="s">
        <v>64</v>
      </c>
      <c r="D189" s="186"/>
      <c r="E189" s="187"/>
      <c r="F189" s="188"/>
      <c r="G189" s="189"/>
      <c r="H189" s="41"/>
      <c r="J189" s="44"/>
      <c r="L189" s="44"/>
      <c r="M189" s="44"/>
      <c r="N189" s="44"/>
      <c r="O189" s="44"/>
      <c r="P189" s="44"/>
      <c r="Q189" s="44"/>
      <c r="R189" s="44"/>
    </row>
    <row r="190" spans="1:18" ht="13.5" customHeight="1" x14ac:dyDescent="0.2">
      <c r="B190" s="41"/>
      <c r="C190" s="148" t="s">
        <v>7</v>
      </c>
      <c r="D190" s="150"/>
      <c r="H190" s="46"/>
      <c r="J190" s="44"/>
      <c r="L190" s="44"/>
      <c r="M190" s="44"/>
      <c r="N190" s="44"/>
      <c r="O190" s="44"/>
      <c r="P190" s="44"/>
      <c r="Q190" s="44"/>
      <c r="R190" s="44"/>
    </row>
    <row r="191" spans="1:18" ht="13.5" customHeight="1" x14ac:dyDescent="0.2">
      <c r="A191" s="41"/>
      <c r="B191" s="41"/>
      <c r="C191" s="148" t="s">
        <v>22</v>
      </c>
      <c r="D191" s="151"/>
      <c r="H191" s="41"/>
      <c r="J191" s="44"/>
      <c r="L191" s="44"/>
      <c r="M191" s="44"/>
      <c r="N191" s="44"/>
      <c r="O191" s="44"/>
      <c r="P191" s="44"/>
      <c r="Q191" s="44"/>
      <c r="R191" s="44"/>
    </row>
    <row r="192" spans="1:18" ht="13.5" customHeight="1" x14ac:dyDescent="0.2">
      <c r="J192" s="44"/>
      <c r="L192" s="44"/>
      <c r="M192" s="44"/>
      <c r="N192" s="44"/>
      <c r="O192" s="44"/>
      <c r="P192" s="44"/>
      <c r="Q192" s="44"/>
      <c r="R192" s="44"/>
    </row>
    <row r="193" spans="2:18" ht="13.5" customHeight="1" x14ac:dyDescent="0.2">
      <c r="C193" s="148" t="s">
        <v>57</v>
      </c>
      <c r="D193" s="148" t="s">
        <v>54</v>
      </c>
      <c r="E193" s="148" t="s">
        <v>2</v>
      </c>
      <c r="F193" s="148" t="s">
        <v>3</v>
      </c>
      <c r="G193" s="148" t="s">
        <v>42</v>
      </c>
      <c r="J193" s="44"/>
      <c r="L193" s="44"/>
      <c r="M193" s="44"/>
      <c r="N193" s="44"/>
      <c r="O193" s="44"/>
      <c r="P193" s="44"/>
      <c r="Q193" s="44"/>
      <c r="R193" s="44"/>
    </row>
    <row r="194" spans="2:18" ht="13.5" customHeight="1" x14ac:dyDescent="0.2">
      <c r="B194" s="26"/>
      <c r="C194" s="149"/>
      <c r="D194" s="150"/>
      <c r="E194" s="150"/>
      <c r="F194" s="150"/>
      <c r="G194" s="149"/>
      <c r="J194" s="44"/>
      <c r="L194" s="44"/>
      <c r="M194" s="44"/>
      <c r="N194" s="44"/>
      <c r="O194" s="44"/>
      <c r="P194" s="44"/>
      <c r="Q194" s="44"/>
      <c r="R194" s="44"/>
    </row>
    <row r="195" spans="2:18" ht="13.5" customHeight="1" x14ac:dyDescent="0.2">
      <c r="C195" s="149"/>
      <c r="D195" s="150"/>
      <c r="E195" s="150"/>
      <c r="F195" s="150"/>
      <c r="G195" s="149"/>
      <c r="H195" s="47"/>
      <c r="J195" s="44"/>
      <c r="L195" s="44"/>
      <c r="M195" s="44"/>
      <c r="N195" s="44"/>
      <c r="O195" s="44"/>
      <c r="P195" s="44"/>
      <c r="Q195" s="44"/>
      <c r="R195" s="44"/>
    </row>
    <row r="196" spans="2:18" ht="13.5" customHeight="1" x14ac:dyDescent="0.2">
      <c r="C196" s="149"/>
      <c r="D196" s="150"/>
      <c r="E196" s="150"/>
      <c r="F196" s="150"/>
      <c r="G196" s="149"/>
      <c r="H196" s="47"/>
      <c r="J196" s="44"/>
      <c r="L196" s="44"/>
      <c r="M196" s="44"/>
      <c r="N196" s="44"/>
      <c r="O196" s="44"/>
      <c r="P196" s="44"/>
      <c r="Q196" s="44"/>
      <c r="R196" s="44"/>
    </row>
    <row r="197" spans="2:18" ht="13.5" customHeight="1" x14ac:dyDescent="0.2">
      <c r="C197" s="149"/>
      <c r="D197" s="150"/>
      <c r="E197" s="150"/>
      <c r="F197" s="150"/>
      <c r="G197" s="149"/>
      <c r="H197" s="47"/>
      <c r="J197" s="44"/>
      <c r="L197" s="44"/>
      <c r="M197" s="44"/>
      <c r="N197" s="44"/>
      <c r="O197" s="44"/>
      <c r="P197" s="44"/>
      <c r="Q197" s="44"/>
      <c r="R197" s="44"/>
    </row>
    <row r="198" spans="2:18" ht="13.5" customHeight="1" x14ac:dyDescent="0.2">
      <c r="C198" s="149"/>
      <c r="D198" s="150"/>
      <c r="E198" s="150"/>
      <c r="F198" s="150"/>
      <c r="G198" s="149"/>
      <c r="H198" s="47"/>
      <c r="J198" s="44"/>
      <c r="L198" s="44"/>
      <c r="M198" s="44"/>
      <c r="N198" s="44"/>
      <c r="O198" s="44"/>
      <c r="P198" s="44"/>
      <c r="Q198" s="44"/>
      <c r="R198" s="44"/>
    </row>
    <row r="199" spans="2:18" ht="13.5" customHeight="1" x14ac:dyDescent="0.2">
      <c r="C199" s="149"/>
      <c r="D199" s="150"/>
      <c r="E199" s="150"/>
      <c r="F199" s="150"/>
      <c r="G199" s="149"/>
      <c r="H199" s="47"/>
      <c r="J199" s="44"/>
      <c r="L199" s="44"/>
      <c r="M199" s="44"/>
      <c r="N199" s="44"/>
      <c r="O199" s="44"/>
      <c r="P199" s="44"/>
      <c r="Q199" s="44"/>
      <c r="R199" s="44"/>
    </row>
    <row r="200" spans="2:18" ht="13.5" customHeight="1" x14ac:dyDescent="0.2">
      <c r="C200" s="149"/>
      <c r="D200" s="150"/>
      <c r="E200" s="150"/>
      <c r="F200" s="150"/>
      <c r="G200" s="149"/>
      <c r="H200" s="47"/>
      <c r="J200" s="44"/>
      <c r="L200" s="44"/>
      <c r="M200" s="44"/>
      <c r="N200" s="44"/>
      <c r="O200" s="44"/>
      <c r="P200" s="44"/>
      <c r="Q200" s="44"/>
      <c r="R200" s="44"/>
    </row>
    <row r="201" spans="2:18" ht="13.5" customHeight="1" x14ac:dyDescent="0.2">
      <c r="C201" s="149"/>
      <c r="D201" s="150"/>
      <c r="E201" s="150"/>
      <c r="F201" s="150"/>
      <c r="G201" s="149"/>
      <c r="H201" s="47"/>
      <c r="J201" s="44"/>
      <c r="L201" s="44"/>
      <c r="M201" s="44"/>
      <c r="N201" s="44"/>
      <c r="O201" s="44"/>
      <c r="P201" s="44"/>
      <c r="Q201" s="44"/>
      <c r="R201" s="44"/>
    </row>
    <row r="202" spans="2:18" ht="13.5" customHeight="1" x14ac:dyDescent="0.2">
      <c r="C202" s="149"/>
      <c r="D202" s="150"/>
      <c r="E202" s="150"/>
      <c r="F202" s="150"/>
      <c r="G202" s="149"/>
      <c r="H202" s="47"/>
      <c r="J202" s="44"/>
      <c r="L202" s="44"/>
      <c r="M202" s="44"/>
      <c r="N202" s="44"/>
      <c r="O202" s="44"/>
      <c r="P202" s="44"/>
      <c r="Q202" s="44"/>
      <c r="R202" s="44"/>
    </row>
    <row r="203" spans="2:18" ht="13.5" customHeight="1" x14ac:dyDescent="0.2">
      <c r="C203" s="149"/>
      <c r="D203" s="150"/>
      <c r="E203" s="150"/>
      <c r="F203" s="150"/>
      <c r="G203" s="149"/>
      <c r="H203" s="47"/>
      <c r="I203" s="148" t="s">
        <v>56</v>
      </c>
      <c r="J203" s="148">
        <f>Startår</f>
        <v>2022</v>
      </c>
      <c r="K203" s="148">
        <f>J203+1</f>
        <v>2023</v>
      </c>
      <c r="L203" s="148">
        <f>K203+1</f>
        <v>2024</v>
      </c>
      <c r="M203" s="148">
        <f>L203+1</f>
        <v>2025</v>
      </c>
      <c r="N203" s="148">
        <f>M203+1</f>
        <v>2026</v>
      </c>
      <c r="O203" s="148">
        <f>N203+1</f>
        <v>2027</v>
      </c>
      <c r="P203" s="148" t="s">
        <v>10</v>
      </c>
      <c r="Q203" s="44"/>
      <c r="R203" s="44"/>
    </row>
    <row r="204" spans="2:18" ht="13.5" customHeight="1" thickBot="1" x14ac:dyDescent="0.25">
      <c r="C204" s="149"/>
      <c r="D204" s="150"/>
      <c r="E204" s="150"/>
      <c r="F204" s="150"/>
      <c r="G204" s="149"/>
      <c r="H204" s="47"/>
      <c r="I204" s="148" t="s">
        <v>15</v>
      </c>
      <c r="J204" s="152"/>
      <c r="K204" s="152"/>
      <c r="L204" s="152"/>
      <c r="M204" s="152"/>
      <c r="N204" s="152"/>
      <c r="O204" s="152"/>
      <c r="P204" s="154">
        <f>SUM(J204:O204)</f>
        <v>0</v>
      </c>
      <c r="Q204" s="44"/>
      <c r="R204" s="44"/>
    </row>
    <row r="205" spans="2:18" ht="13.5" customHeight="1" thickTop="1" thickBot="1" x14ac:dyDescent="0.25">
      <c r="C205" s="149"/>
      <c r="D205" s="150"/>
      <c r="E205" s="150"/>
      <c r="F205" s="150"/>
      <c r="G205" s="149"/>
      <c r="H205" s="47"/>
      <c r="I205" s="148" t="s">
        <v>55</v>
      </c>
      <c r="J205" s="152"/>
      <c r="K205" s="152"/>
      <c r="L205" s="152"/>
      <c r="M205" s="152"/>
      <c r="N205" s="152"/>
      <c r="O205" s="152"/>
      <c r="P205" s="155">
        <f>SUM(J205:O205)</f>
        <v>0</v>
      </c>
      <c r="Q205" s="44"/>
      <c r="R205" s="44"/>
    </row>
    <row r="206" spans="2:18" ht="13.5" customHeight="1" thickTop="1" thickBot="1" x14ac:dyDescent="0.25">
      <c r="C206" s="158"/>
      <c r="D206" s="159"/>
      <c r="E206" s="159"/>
      <c r="F206" s="159"/>
      <c r="G206" s="158"/>
      <c r="H206" s="47"/>
      <c r="I206" s="148" t="s">
        <v>3</v>
      </c>
      <c r="J206" s="152"/>
      <c r="K206" s="152"/>
      <c r="L206" s="152"/>
      <c r="M206" s="152"/>
      <c r="N206" s="152"/>
      <c r="O206" s="152"/>
      <c r="P206" s="153">
        <f>SUM(J206:O206)</f>
        <v>0</v>
      </c>
      <c r="Q206" s="44"/>
      <c r="R206" s="44"/>
    </row>
    <row r="207" spans="2:18" ht="13.5" customHeight="1" thickTop="1" x14ac:dyDescent="0.2">
      <c r="C207" s="156" t="s">
        <v>70</v>
      </c>
      <c r="D207" s="157"/>
      <c r="E207" s="157"/>
      <c r="F207" s="157"/>
      <c r="G207" s="48"/>
      <c r="H207" s="48"/>
      <c r="Q207" s="44"/>
      <c r="R207" s="44"/>
    </row>
    <row r="208" spans="2:18" ht="13.5" customHeight="1" x14ac:dyDescent="0.2">
      <c r="Q208" s="44"/>
      <c r="R208" s="44"/>
    </row>
    <row r="209" spans="1:18" ht="13.5" customHeight="1" x14ac:dyDescent="0.2">
      <c r="Q209" s="44"/>
      <c r="R209" s="44"/>
    </row>
    <row r="210" spans="1:18" ht="13.5" customHeight="1" x14ac:dyDescent="0.2">
      <c r="Q210" s="44"/>
      <c r="R210" s="44"/>
    </row>
    <row r="211" spans="1:18" ht="13.5" customHeight="1" x14ac:dyDescent="0.2">
      <c r="I211" s="53"/>
      <c r="J211" s="54"/>
      <c r="K211" s="54"/>
      <c r="L211" s="54"/>
      <c r="P211" s="34"/>
      <c r="Q211" s="44"/>
      <c r="R211" s="44"/>
    </row>
    <row r="212" spans="1:18" ht="13.5" customHeight="1" x14ac:dyDescent="0.2">
      <c r="A212" s="148">
        <v>10</v>
      </c>
      <c r="B212" s="41"/>
      <c r="C212" s="148" t="s">
        <v>64</v>
      </c>
      <c r="D212" s="186"/>
      <c r="E212" s="187"/>
      <c r="F212" s="188"/>
      <c r="G212" s="189"/>
      <c r="H212" s="41"/>
      <c r="J212" s="44"/>
      <c r="L212" s="44"/>
      <c r="M212" s="44"/>
      <c r="N212" s="44"/>
      <c r="O212" s="44"/>
      <c r="P212" s="44"/>
      <c r="Q212" s="44"/>
      <c r="R212" s="44"/>
    </row>
    <row r="213" spans="1:18" ht="13.5" customHeight="1" x14ac:dyDescent="0.2">
      <c r="A213" s="41"/>
      <c r="B213" s="41"/>
      <c r="C213" s="148" t="s">
        <v>7</v>
      </c>
      <c r="D213" s="150"/>
      <c r="H213" s="46"/>
      <c r="J213" s="44"/>
      <c r="L213" s="44"/>
      <c r="M213" s="44"/>
      <c r="N213" s="44"/>
      <c r="O213" s="44"/>
      <c r="P213" s="44"/>
      <c r="Q213" s="44"/>
      <c r="R213" s="44"/>
    </row>
    <row r="214" spans="1:18" ht="13.5" customHeight="1" x14ac:dyDescent="0.2">
      <c r="B214" s="41"/>
      <c r="C214" s="148" t="s">
        <v>22</v>
      </c>
      <c r="D214" s="151"/>
      <c r="H214" s="41"/>
      <c r="J214" s="44"/>
      <c r="L214" s="44"/>
      <c r="M214" s="44"/>
      <c r="N214" s="44"/>
      <c r="O214" s="44"/>
      <c r="P214" s="44"/>
      <c r="Q214" s="44"/>
      <c r="R214" s="44"/>
    </row>
    <row r="215" spans="1:18" ht="13.5" customHeight="1" x14ac:dyDescent="0.2">
      <c r="J215" s="44"/>
      <c r="L215" s="44"/>
      <c r="M215" s="44"/>
      <c r="N215" s="44"/>
      <c r="O215" s="44"/>
      <c r="P215" s="44"/>
      <c r="Q215" s="44"/>
      <c r="R215" s="44"/>
    </row>
    <row r="216" spans="1:18" ht="13.5" customHeight="1" x14ac:dyDescent="0.2">
      <c r="C216" s="148" t="s">
        <v>57</v>
      </c>
      <c r="D216" s="148" t="s">
        <v>54</v>
      </c>
      <c r="E216" s="148" t="s">
        <v>2</v>
      </c>
      <c r="F216" s="148" t="s">
        <v>3</v>
      </c>
      <c r="G216" s="148" t="s">
        <v>42</v>
      </c>
      <c r="J216" s="44"/>
      <c r="L216" s="44"/>
      <c r="M216" s="44"/>
      <c r="N216" s="44"/>
      <c r="O216" s="44"/>
      <c r="P216" s="44"/>
      <c r="Q216" s="44"/>
      <c r="R216" s="44"/>
    </row>
    <row r="217" spans="1:18" ht="13.5" customHeight="1" x14ac:dyDescent="0.2">
      <c r="B217" s="26"/>
      <c r="C217" s="149"/>
      <c r="D217" s="150"/>
      <c r="E217" s="150"/>
      <c r="F217" s="150"/>
      <c r="G217" s="149"/>
      <c r="J217" s="44"/>
      <c r="L217" s="44"/>
      <c r="M217" s="44"/>
      <c r="N217" s="44"/>
      <c r="O217" s="44"/>
      <c r="P217" s="44"/>
      <c r="Q217" s="44"/>
      <c r="R217" s="44"/>
    </row>
    <row r="218" spans="1:18" ht="13.5" customHeight="1" x14ac:dyDescent="0.2">
      <c r="C218" s="149"/>
      <c r="D218" s="150"/>
      <c r="E218" s="150"/>
      <c r="F218" s="150"/>
      <c r="G218" s="149"/>
      <c r="H218" s="47"/>
      <c r="J218" s="44"/>
      <c r="L218" s="44"/>
      <c r="M218" s="44"/>
      <c r="N218" s="44"/>
      <c r="O218" s="44"/>
      <c r="P218" s="44"/>
      <c r="Q218" s="44"/>
      <c r="R218" s="44"/>
    </row>
    <row r="219" spans="1:18" ht="13.5" customHeight="1" x14ac:dyDescent="0.2">
      <c r="C219" s="149"/>
      <c r="D219" s="150"/>
      <c r="E219" s="150"/>
      <c r="F219" s="150"/>
      <c r="G219" s="149"/>
      <c r="H219" s="47"/>
      <c r="J219" s="44"/>
      <c r="L219" s="44"/>
      <c r="M219" s="44"/>
      <c r="N219" s="44"/>
      <c r="O219" s="44"/>
      <c r="P219" s="44"/>
      <c r="Q219" s="44"/>
      <c r="R219" s="44"/>
    </row>
    <row r="220" spans="1:18" ht="13.5" customHeight="1" x14ac:dyDescent="0.2">
      <c r="C220" s="149"/>
      <c r="D220" s="150"/>
      <c r="E220" s="150"/>
      <c r="F220" s="150"/>
      <c r="G220" s="149"/>
      <c r="H220" s="47"/>
      <c r="J220" s="44"/>
      <c r="L220" s="44"/>
      <c r="M220" s="44"/>
      <c r="N220" s="44"/>
      <c r="O220" s="44"/>
      <c r="P220" s="44"/>
      <c r="Q220" s="44"/>
      <c r="R220" s="44"/>
    </row>
    <row r="221" spans="1:18" ht="13.5" customHeight="1" x14ac:dyDescent="0.2">
      <c r="C221" s="149"/>
      <c r="D221" s="150"/>
      <c r="E221" s="150"/>
      <c r="F221" s="150"/>
      <c r="G221" s="149"/>
      <c r="H221" s="47"/>
      <c r="J221" s="44"/>
      <c r="L221" s="44"/>
      <c r="M221" s="44"/>
      <c r="N221" s="44"/>
      <c r="O221" s="44"/>
      <c r="P221" s="44"/>
      <c r="Q221" s="44"/>
      <c r="R221" s="44"/>
    </row>
    <row r="222" spans="1:18" ht="13.5" customHeight="1" x14ac:dyDescent="0.2">
      <c r="C222" s="149"/>
      <c r="D222" s="150"/>
      <c r="E222" s="150"/>
      <c r="F222" s="150"/>
      <c r="G222" s="149"/>
      <c r="H222" s="47"/>
      <c r="J222" s="44"/>
      <c r="L222" s="44"/>
      <c r="M222" s="44"/>
      <c r="N222" s="44"/>
      <c r="O222" s="44"/>
      <c r="P222" s="44"/>
      <c r="Q222" s="44"/>
      <c r="R222" s="44"/>
    </row>
    <row r="223" spans="1:18" ht="13.5" customHeight="1" x14ac:dyDescent="0.2">
      <c r="C223" s="149"/>
      <c r="D223" s="150"/>
      <c r="E223" s="150"/>
      <c r="F223" s="150"/>
      <c r="G223" s="149"/>
      <c r="H223" s="47"/>
      <c r="J223" s="44"/>
      <c r="L223" s="44"/>
      <c r="M223" s="44"/>
      <c r="N223" s="44"/>
      <c r="O223" s="44"/>
      <c r="P223" s="44"/>
      <c r="Q223" s="44"/>
      <c r="R223" s="44"/>
    </row>
    <row r="224" spans="1:18" ht="13.5" customHeight="1" x14ac:dyDescent="0.2">
      <c r="C224" s="149"/>
      <c r="D224" s="150"/>
      <c r="E224" s="150"/>
      <c r="F224" s="150"/>
      <c r="G224" s="149"/>
      <c r="H224" s="47"/>
      <c r="J224" s="44"/>
      <c r="L224" s="44"/>
      <c r="M224" s="44"/>
      <c r="N224" s="44"/>
      <c r="O224" s="44"/>
      <c r="P224" s="44"/>
      <c r="Q224" s="44"/>
      <c r="R224" s="44"/>
    </row>
    <row r="225" spans="1:18" ht="13.5" customHeight="1" x14ac:dyDescent="0.2">
      <c r="C225" s="149"/>
      <c r="D225" s="150"/>
      <c r="E225" s="150"/>
      <c r="F225" s="150"/>
      <c r="G225" s="149"/>
      <c r="H225" s="47"/>
      <c r="J225" s="44"/>
      <c r="L225" s="44"/>
      <c r="M225" s="44"/>
      <c r="N225" s="44"/>
      <c r="O225" s="44"/>
      <c r="P225" s="44"/>
      <c r="Q225" s="44"/>
      <c r="R225" s="44"/>
    </row>
    <row r="226" spans="1:18" ht="13.5" customHeight="1" x14ac:dyDescent="0.2">
      <c r="C226" s="149"/>
      <c r="D226" s="150"/>
      <c r="E226" s="150"/>
      <c r="F226" s="150"/>
      <c r="G226" s="149"/>
      <c r="H226" s="47"/>
      <c r="I226" s="148" t="s">
        <v>56</v>
      </c>
      <c r="J226" s="148">
        <f>Startår</f>
        <v>2022</v>
      </c>
      <c r="K226" s="148">
        <f>J226+1</f>
        <v>2023</v>
      </c>
      <c r="L226" s="148">
        <f>K226+1</f>
        <v>2024</v>
      </c>
      <c r="M226" s="148">
        <f>L226+1</f>
        <v>2025</v>
      </c>
      <c r="N226" s="148">
        <f>M226+1</f>
        <v>2026</v>
      </c>
      <c r="O226" s="148">
        <f>N226+1</f>
        <v>2027</v>
      </c>
      <c r="P226" s="148" t="s">
        <v>10</v>
      </c>
      <c r="Q226" s="44"/>
      <c r="R226" s="44"/>
    </row>
    <row r="227" spans="1:18" ht="13.5" customHeight="1" thickBot="1" x14ac:dyDescent="0.25">
      <c r="C227" s="149"/>
      <c r="D227" s="150"/>
      <c r="E227" s="150"/>
      <c r="F227" s="150"/>
      <c r="G227" s="149"/>
      <c r="H227" s="47"/>
      <c r="I227" s="148" t="s">
        <v>15</v>
      </c>
      <c r="J227" s="152"/>
      <c r="K227" s="152"/>
      <c r="L227" s="152"/>
      <c r="M227" s="152"/>
      <c r="N227" s="152"/>
      <c r="O227" s="152"/>
      <c r="P227" s="154">
        <f>SUM(J227:O227)</f>
        <v>0</v>
      </c>
      <c r="Q227" s="44"/>
      <c r="R227" s="44"/>
    </row>
    <row r="228" spans="1:18" ht="13.5" customHeight="1" thickTop="1" thickBot="1" x14ac:dyDescent="0.25">
      <c r="C228" s="149"/>
      <c r="D228" s="150"/>
      <c r="E228" s="150"/>
      <c r="F228" s="150"/>
      <c r="G228" s="149"/>
      <c r="H228" s="47"/>
      <c r="I228" s="148" t="s">
        <v>55</v>
      </c>
      <c r="J228" s="152"/>
      <c r="K228" s="152"/>
      <c r="L228" s="152"/>
      <c r="M228" s="152"/>
      <c r="N228" s="152"/>
      <c r="O228" s="152"/>
      <c r="P228" s="155">
        <f>SUM(J228:O228)</f>
        <v>0</v>
      </c>
      <c r="Q228" s="44"/>
      <c r="R228" s="44"/>
    </row>
    <row r="229" spans="1:18" ht="13.5" customHeight="1" thickTop="1" thickBot="1" x14ac:dyDescent="0.25">
      <c r="C229" s="158"/>
      <c r="D229" s="159"/>
      <c r="E229" s="159"/>
      <c r="F229" s="159"/>
      <c r="G229" s="158"/>
      <c r="H229" s="47"/>
      <c r="I229" s="148" t="s">
        <v>3</v>
      </c>
      <c r="J229" s="152"/>
      <c r="K229" s="152"/>
      <c r="L229" s="152"/>
      <c r="M229" s="152"/>
      <c r="N229" s="152"/>
      <c r="O229" s="152"/>
      <c r="P229" s="153">
        <f>SUM(J229:O229)</f>
        <v>0</v>
      </c>
      <c r="Q229" s="44"/>
      <c r="R229" s="44"/>
    </row>
    <row r="230" spans="1:18" ht="13.5" customHeight="1" thickTop="1" x14ac:dyDescent="0.2">
      <c r="C230" s="156" t="s">
        <v>70</v>
      </c>
      <c r="D230" s="157"/>
      <c r="E230" s="157"/>
      <c r="F230" s="157"/>
      <c r="G230" s="48"/>
      <c r="H230" s="48"/>
      <c r="Q230" s="44"/>
      <c r="R230" s="44"/>
    </row>
    <row r="231" spans="1:18" ht="13.5" customHeight="1" x14ac:dyDescent="0.2">
      <c r="Q231" s="44"/>
      <c r="R231" s="44"/>
    </row>
    <row r="232" spans="1:18" ht="13.5" customHeight="1" x14ac:dyDescent="0.2">
      <c r="Q232" s="44"/>
      <c r="R232" s="44"/>
    </row>
    <row r="233" spans="1:18" ht="13.5" customHeight="1" x14ac:dyDescent="0.2">
      <c r="Q233" s="44"/>
      <c r="R233" s="44"/>
    </row>
    <row r="234" spans="1:18" ht="13.5" customHeight="1" x14ac:dyDescent="0.2">
      <c r="I234" s="53"/>
      <c r="J234" s="54"/>
      <c r="K234" s="54"/>
      <c r="L234" s="54"/>
      <c r="P234" s="34"/>
      <c r="Q234" s="44"/>
      <c r="R234" s="44"/>
    </row>
    <row r="235" spans="1:18" ht="13.5" customHeight="1" x14ac:dyDescent="0.2">
      <c r="A235" s="148">
        <v>11</v>
      </c>
      <c r="B235" s="41"/>
      <c r="C235" s="148" t="s">
        <v>64</v>
      </c>
      <c r="D235" s="186"/>
      <c r="E235" s="187"/>
      <c r="F235" s="188"/>
      <c r="G235" s="189"/>
      <c r="H235" s="41"/>
      <c r="J235" s="44"/>
      <c r="L235" s="44"/>
      <c r="M235" s="44"/>
      <c r="N235" s="44"/>
      <c r="O235" s="44"/>
      <c r="P235" s="44"/>
      <c r="Q235" s="44"/>
      <c r="R235" s="44"/>
    </row>
    <row r="236" spans="1:18" ht="13.5" customHeight="1" x14ac:dyDescent="0.2">
      <c r="B236" s="41"/>
      <c r="C236" s="148" t="s">
        <v>7</v>
      </c>
      <c r="D236" s="150"/>
      <c r="H236" s="46"/>
      <c r="J236" s="44"/>
      <c r="L236" s="44"/>
      <c r="M236" s="44"/>
      <c r="N236" s="44"/>
      <c r="O236" s="44"/>
      <c r="P236" s="44"/>
      <c r="Q236" s="44"/>
      <c r="R236" s="44"/>
    </row>
    <row r="237" spans="1:18" ht="13.5" customHeight="1" x14ac:dyDescent="0.2">
      <c r="A237" s="41"/>
      <c r="B237" s="41"/>
      <c r="C237" s="148" t="s">
        <v>22</v>
      </c>
      <c r="D237" s="151"/>
      <c r="H237" s="41"/>
      <c r="J237" s="44"/>
      <c r="L237" s="44"/>
      <c r="M237" s="44"/>
      <c r="N237" s="44"/>
      <c r="O237" s="44"/>
      <c r="P237" s="44"/>
      <c r="Q237" s="44"/>
      <c r="R237" s="44"/>
    </row>
    <row r="238" spans="1:18" ht="13.5" customHeight="1" x14ac:dyDescent="0.2">
      <c r="J238" s="44"/>
      <c r="L238" s="44"/>
      <c r="M238" s="44"/>
      <c r="N238" s="44"/>
      <c r="O238" s="44"/>
      <c r="P238" s="44"/>
      <c r="Q238" s="44"/>
      <c r="R238" s="44"/>
    </row>
    <row r="239" spans="1:18" ht="13.5" customHeight="1" x14ac:dyDescent="0.2">
      <c r="C239" s="148" t="s">
        <v>57</v>
      </c>
      <c r="D239" s="148" t="s">
        <v>54</v>
      </c>
      <c r="E239" s="148" t="s">
        <v>2</v>
      </c>
      <c r="F239" s="148" t="s">
        <v>3</v>
      </c>
      <c r="G239" s="148" t="s">
        <v>42</v>
      </c>
      <c r="J239" s="44"/>
      <c r="L239" s="44"/>
      <c r="M239" s="44"/>
      <c r="N239" s="44"/>
      <c r="O239" s="44"/>
      <c r="P239" s="44"/>
      <c r="Q239" s="44"/>
      <c r="R239" s="44"/>
    </row>
    <row r="240" spans="1:18" ht="13.5" customHeight="1" x14ac:dyDescent="0.2">
      <c r="B240" s="26"/>
      <c r="C240" s="149"/>
      <c r="D240" s="150"/>
      <c r="E240" s="150"/>
      <c r="F240" s="150"/>
      <c r="G240" s="149"/>
      <c r="J240" s="44"/>
      <c r="L240" s="44"/>
      <c r="M240" s="44"/>
      <c r="N240" s="44"/>
      <c r="O240" s="44"/>
      <c r="P240" s="44"/>
      <c r="Q240" s="44"/>
      <c r="R240" s="44"/>
    </row>
    <row r="241" spans="3:18" ht="13.5" customHeight="1" x14ac:dyDescent="0.2">
      <c r="C241" s="149"/>
      <c r="D241" s="150"/>
      <c r="E241" s="150"/>
      <c r="F241" s="150"/>
      <c r="G241" s="149"/>
      <c r="H241" s="47"/>
      <c r="J241" s="44"/>
      <c r="L241" s="44"/>
      <c r="M241" s="44"/>
      <c r="N241" s="44"/>
      <c r="O241" s="44"/>
      <c r="P241" s="44"/>
      <c r="Q241" s="44"/>
      <c r="R241" s="44"/>
    </row>
    <row r="242" spans="3:18" ht="13.5" customHeight="1" x14ac:dyDescent="0.2">
      <c r="C242" s="149"/>
      <c r="D242" s="150"/>
      <c r="E242" s="150"/>
      <c r="F242" s="150"/>
      <c r="G242" s="149"/>
      <c r="H242" s="47"/>
      <c r="J242" s="44"/>
      <c r="L242" s="44"/>
      <c r="M242" s="44"/>
      <c r="N242" s="44"/>
      <c r="O242" s="44"/>
      <c r="P242" s="44"/>
      <c r="Q242" s="44"/>
      <c r="R242" s="44"/>
    </row>
    <row r="243" spans="3:18" ht="13.5" customHeight="1" x14ac:dyDescent="0.2">
      <c r="C243" s="149"/>
      <c r="D243" s="150"/>
      <c r="E243" s="150"/>
      <c r="F243" s="150"/>
      <c r="G243" s="149"/>
      <c r="H243" s="47"/>
      <c r="J243" s="44"/>
      <c r="L243" s="44"/>
      <c r="M243" s="44"/>
      <c r="N243" s="44"/>
      <c r="O243" s="44"/>
      <c r="P243" s="44"/>
      <c r="Q243" s="44"/>
      <c r="R243" s="44"/>
    </row>
    <row r="244" spans="3:18" ht="13.5" customHeight="1" x14ac:dyDescent="0.2">
      <c r="C244" s="149"/>
      <c r="D244" s="150"/>
      <c r="E244" s="150"/>
      <c r="F244" s="150"/>
      <c r="G244" s="149"/>
      <c r="H244" s="47"/>
      <c r="J244" s="44"/>
      <c r="L244" s="44"/>
      <c r="M244" s="44"/>
      <c r="N244" s="44"/>
      <c r="O244" s="44"/>
      <c r="P244" s="44"/>
      <c r="Q244" s="44"/>
      <c r="R244" s="44"/>
    </row>
    <row r="245" spans="3:18" ht="13.5" customHeight="1" x14ac:dyDescent="0.2">
      <c r="C245" s="149"/>
      <c r="D245" s="150"/>
      <c r="E245" s="150"/>
      <c r="F245" s="150"/>
      <c r="G245" s="149"/>
      <c r="H245" s="47"/>
      <c r="J245" s="44"/>
      <c r="L245" s="44"/>
      <c r="M245" s="44"/>
      <c r="N245" s="44"/>
      <c r="O245" s="44"/>
      <c r="P245" s="44"/>
      <c r="Q245" s="44"/>
      <c r="R245" s="44"/>
    </row>
    <row r="246" spans="3:18" ht="13.5" customHeight="1" x14ac:dyDescent="0.2">
      <c r="C246" s="149"/>
      <c r="D246" s="150"/>
      <c r="E246" s="150"/>
      <c r="F246" s="150"/>
      <c r="G246" s="149"/>
      <c r="H246" s="47"/>
      <c r="J246" s="44"/>
      <c r="L246" s="44"/>
      <c r="M246" s="44"/>
      <c r="N246" s="44"/>
      <c r="O246" s="44"/>
      <c r="P246" s="44"/>
      <c r="Q246" s="44"/>
      <c r="R246" s="44"/>
    </row>
    <row r="247" spans="3:18" ht="13.5" customHeight="1" x14ac:dyDescent="0.2">
      <c r="C247" s="149"/>
      <c r="D247" s="150"/>
      <c r="E247" s="150"/>
      <c r="F247" s="150"/>
      <c r="G247" s="149"/>
      <c r="H247" s="47"/>
      <c r="J247" s="44"/>
      <c r="L247" s="44"/>
      <c r="M247" s="44"/>
      <c r="N247" s="44"/>
      <c r="O247" s="44"/>
      <c r="P247" s="44"/>
      <c r="Q247" s="44"/>
      <c r="R247" s="44"/>
    </row>
    <row r="248" spans="3:18" ht="13.5" customHeight="1" x14ac:dyDescent="0.2">
      <c r="C248" s="149"/>
      <c r="D248" s="150"/>
      <c r="E248" s="150"/>
      <c r="F248" s="150"/>
      <c r="G248" s="149"/>
      <c r="H248" s="47"/>
      <c r="J248" s="44"/>
      <c r="L248" s="44"/>
      <c r="M248" s="44"/>
      <c r="N248" s="44"/>
      <c r="O248" s="44"/>
      <c r="P248" s="44"/>
      <c r="Q248" s="44"/>
      <c r="R248" s="44"/>
    </row>
    <row r="249" spans="3:18" ht="13.5" customHeight="1" x14ac:dyDescent="0.2">
      <c r="C249" s="149"/>
      <c r="D249" s="150"/>
      <c r="E249" s="150"/>
      <c r="F249" s="150"/>
      <c r="G249" s="149"/>
      <c r="H249" s="47"/>
      <c r="I249" s="148" t="s">
        <v>56</v>
      </c>
      <c r="J249" s="148">
        <f>Startår</f>
        <v>2022</v>
      </c>
      <c r="K249" s="148">
        <f>J249+1</f>
        <v>2023</v>
      </c>
      <c r="L249" s="148">
        <f>K249+1</f>
        <v>2024</v>
      </c>
      <c r="M249" s="148">
        <f>L249+1</f>
        <v>2025</v>
      </c>
      <c r="N249" s="148">
        <f>M249+1</f>
        <v>2026</v>
      </c>
      <c r="O249" s="148">
        <f>N249+1</f>
        <v>2027</v>
      </c>
      <c r="P249" s="148" t="s">
        <v>10</v>
      </c>
      <c r="Q249" s="44"/>
      <c r="R249" s="44"/>
    </row>
    <row r="250" spans="3:18" ht="13.5" customHeight="1" thickBot="1" x14ac:dyDescent="0.25">
      <c r="C250" s="149"/>
      <c r="D250" s="150"/>
      <c r="E250" s="150"/>
      <c r="F250" s="150"/>
      <c r="G250" s="149"/>
      <c r="H250" s="47"/>
      <c r="I250" s="148" t="s">
        <v>15</v>
      </c>
      <c r="J250" s="152"/>
      <c r="K250" s="152"/>
      <c r="L250" s="152"/>
      <c r="M250" s="152"/>
      <c r="N250" s="152"/>
      <c r="O250" s="152"/>
      <c r="P250" s="154">
        <f>SUM(J250:O250)</f>
        <v>0</v>
      </c>
      <c r="Q250" s="44"/>
      <c r="R250" s="44"/>
    </row>
    <row r="251" spans="3:18" ht="13.5" customHeight="1" thickTop="1" thickBot="1" x14ac:dyDescent="0.25">
      <c r="C251" s="149"/>
      <c r="D251" s="150"/>
      <c r="E251" s="150"/>
      <c r="F251" s="150"/>
      <c r="G251" s="149"/>
      <c r="H251" s="47"/>
      <c r="I251" s="148" t="s">
        <v>55</v>
      </c>
      <c r="J251" s="152"/>
      <c r="K251" s="152"/>
      <c r="L251" s="152"/>
      <c r="M251" s="152"/>
      <c r="N251" s="152"/>
      <c r="O251" s="152"/>
      <c r="P251" s="155">
        <f>SUM(J251:O251)</f>
        <v>0</v>
      </c>
      <c r="Q251" s="44"/>
      <c r="R251" s="44"/>
    </row>
    <row r="252" spans="3:18" ht="13.5" customHeight="1" thickTop="1" thickBot="1" x14ac:dyDescent="0.25">
      <c r="C252" s="158"/>
      <c r="D252" s="159"/>
      <c r="E252" s="159"/>
      <c r="F252" s="159"/>
      <c r="G252" s="158"/>
      <c r="H252" s="47"/>
      <c r="I252" s="148" t="s">
        <v>3</v>
      </c>
      <c r="J252" s="152"/>
      <c r="K252" s="152"/>
      <c r="L252" s="152"/>
      <c r="M252" s="152"/>
      <c r="N252" s="152"/>
      <c r="O252" s="152"/>
      <c r="P252" s="153">
        <f>SUM(J252:O252)</f>
        <v>0</v>
      </c>
      <c r="Q252" s="44"/>
      <c r="R252" s="44"/>
    </row>
    <row r="253" spans="3:18" ht="13.5" customHeight="1" thickTop="1" x14ac:dyDescent="0.2">
      <c r="C253" s="156" t="s">
        <v>70</v>
      </c>
      <c r="D253" s="157"/>
      <c r="E253" s="157"/>
      <c r="F253" s="157"/>
      <c r="G253" s="48"/>
      <c r="H253" s="48"/>
      <c r="Q253" s="44"/>
      <c r="R253" s="44"/>
    </row>
    <row r="254" spans="3:18" ht="13.5" customHeight="1" x14ac:dyDescent="0.2">
      <c r="Q254" s="44"/>
      <c r="R254" s="44"/>
    </row>
    <row r="255" spans="3:18" ht="13.5" customHeight="1" x14ac:dyDescent="0.2">
      <c r="Q255" s="44"/>
      <c r="R255" s="44"/>
    </row>
    <row r="256" spans="3:18" ht="13.5" customHeight="1" x14ac:dyDescent="0.2">
      <c r="Q256" s="44"/>
      <c r="R256" s="44"/>
    </row>
    <row r="257" spans="1:18" ht="13.5" customHeight="1" x14ac:dyDescent="0.2">
      <c r="I257" s="53"/>
      <c r="J257" s="54"/>
      <c r="K257" s="54"/>
      <c r="L257" s="54"/>
      <c r="P257" s="34"/>
      <c r="Q257" s="44"/>
      <c r="R257" s="44"/>
    </row>
    <row r="258" spans="1:18" ht="13.5" customHeight="1" x14ac:dyDescent="0.2">
      <c r="A258" s="148">
        <v>12</v>
      </c>
      <c r="B258" s="41"/>
      <c r="C258" s="148" t="s">
        <v>64</v>
      </c>
      <c r="D258" s="186"/>
      <c r="E258" s="187"/>
      <c r="F258" s="188"/>
      <c r="G258" s="189"/>
      <c r="H258" s="41"/>
      <c r="J258" s="44"/>
      <c r="L258" s="44"/>
      <c r="M258" s="44"/>
      <c r="N258" s="44"/>
      <c r="O258" s="44"/>
      <c r="P258" s="44"/>
      <c r="Q258" s="44"/>
      <c r="R258" s="44"/>
    </row>
    <row r="259" spans="1:18" ht="13.5" customHeight="1" x14ac:dyDescent="0.2">
      <c r="A259" s="41"/>
      <c r="B259" s="41"/>
      <c r="C259" s="148" t="s">
        <v>7</v>
      </c>
      <c r="D259" s="150"/>
      <c r="H259" s="46"/>
      <c r="J259" s="44"/>
      <c r="L259" s="44"/>
      <c r="M259" s="44"/>
      <c r="N259" s="44"/>
      <c r="O259" s="44"/>
      <c r="P259" s="44"/>
      <c r="Q259" s="44"/>
      <c r="R259" s="44"/>
    </row>
    <row r="260" spans="1:18" ht="13.5" customHeight="1" x14ac:dyDescent="0.2">
      <c r="B260" s="41"/>
      <c r="C260" s="148" t="s">
        <v>22</v>
      </c>
      <c r="D260" s="151"/>
      <c r="H260" s="41"/>
      <c r="J260" s="44"/>
      <c r="L260" s="44"/>
      <c r="M260" s="44"/>
      <c r="N260" s="44"/>
      <c r="O260" s="44"/>
      <c r="P260" s="44"/>
      <c r="Q260" s="44"/>
      <c r="R260" s="44"/>
    </row>
    <row r="261" spans="1:18" ht="13.5" customHeight="1" x14ac:dyDescent="0.2">
      <c r="J261" s="44"/>
      <c r="L261" s="44"/>
      <c r="M261" s="44"/>
      <c r="N261" s="44"/>
      <c r="O261" s="44"/>
      <c r="P261" s="44"/>
      <c r="Q261" s="44"/>
      <c r="R261" s="44"/>
    </row>
    <row r="262" spans="1:18" ht="13.5" customHeight="1" x14ac:dyDescent="0.2">
      <c r="C262" s="148" t="s">
        <v>57</v>
      </c>
      <c r="D262" s="148" t="s">
        <v>54</v>
      </c>
      <c r="E262" s="148" t="s">
        <v>2</v>
      </c>
      <c r="F262" s="148" t="s">
        <v>3</v>
      </c>
      <c r="G262" s="148" t="s">
        <v>42</v>
      </c>
      <c r="J262" s="44"/>
      <c r="L262" s="44"/>
      <c r="M262" s="44"/>
      <c r="N262" s="44"/>
      <c r="O262" s="44"/>
      <c r="P262" s="44"/>
      <c r="Q262" s="44"/>
      <c r="R262" s="44"/>
    </row>
    <row r="263" spans="1:18" ht="13.5" customHeight="1" x14ac:dyDescent="0.2">
      <c r="B263" s="26"/>
      <c r="C263" s="149"/>
      <c r="D263" s="150"/>
      <c r="E263" s="150"/>
      <c r="F263" s="150"/>
      <c r="G263" s="149"/>
      <c r="J263" s="44"/>
      <c r="L263" s="44"/>
      <c r="M263" s="44"/>
      <c r="N263" s="44"/>
      <c r="O263" s="44"/>
      <c r="P263" s="44"/>
      <c r="Q263" s="44"/>
      <c r="R263" s="44"/>
    </row>
    <row r="264" spans="1:18" ht="13.5" customHeight="1" x14ac:dyDescent="0.2">
      <c r="C264" s="149"/>
      <c r="D264" s="150"/>
      <c r="E264" s="150"/>
      <c r="F264" s="150"/>
      <c r="G264" s="149"/>
      <c r="H264" s="47"/>
      <c r="J264" s="44"/>
      <c r="L264" s="44"/>
      <c r="M264" s="44"/>
      <c r="N264" s="44"/>
      <c r="O264" s="44"/>
      <c r="P264" s="44"/>
      <c r="Q264" s="44"/>
      <c r="R264" s="44"/>
    </row>
    <row r="265" spans="1:18" ht="13.5" customHeight="1" x14ac:dyDescent="0.2">
      <c r="C265" s="149"/>
      <c r="D265" s="150"/>
      <c r="E265" s="150"/>
      <c r="F265" s="150"/>
      <c r="G265" s="149"/>
      <c r="H265" s="47"/>
      <c r="J265" s="44"/>
      <c r="L265" s="44"/>
      <c r="M265" s="44"/>
      <c r="N265" s="44"/>
      <c r="O265" s="44"/>
      <c r="P265" s="44"/>
      <c r="Q265" s="44"/>
      <c r="R265" s="44"/>
    </row>
    <row r="266" spans="1:18" ht="13.5" customHeight="1" x14ac:dyDescent="0.2">
      <c r="C266" s="149"/>
      <c r="D266" s="150"/>
      <c r="E266" s="150"/>
      <c r="F266" s="150"/>
      <c r="G266" s="149"/>
      <c r="H266" s="47"/>
      <c r="J266" s="44"/>
      <c r="L266" s="44"/>
      <c r="M266" s="44"/>
      <c r="N266" s="44"/>
      <c r="O266" s="44"/>
      <c r="P266" s="44"/>
      <c r="Q266" s="44"/>
      <c r="R266" s="44"/>
    </row>
    <row r="267" spans="1:18" ht="13.5" customHeight="1" x14ac:dyDescent="0.2">
      <c r="C267" s="149"/>
      <c r="D267" s="150"/>
      <c r="E267" s="150"/>
      <c r="F267" s="150"/>
      <c r="G267" s="149"/>
      <c r="H267" s="47"/>
      <c r="J267" s="44"/>
      <c r="L267" s="44"/>
      <c r="M267" s="44"/>
      <c r="N267" s="44"/>
      <c r="O267" s="44"/>
      <c r="P267" s="44"/>
      <c r="Q267" s="44"/>
      <c r="R267" s="44"/>
    </row>
    <row r="268" spans="1:18" ht="13.5" customHeight="1" x14ac:dyDescent="0.2">
      <c r="C268" s="149"/>
      <c r="D268" s="150"/>
      <c r="E268" s="150"/>
      <c r="F268" s="150"/>
      <c r="G268" s="149"/>
      <c r="H268" s="47"/>
      <c r="J268" s="44"/>
      <c r="L268" s="44"/>
      <c r="M268" s="44"/>
      <c r="N268" s="44"/>
      <c r="O268" s="44"/>
      <c r="P268" s="44"/>
      <c r="Q268" s="44"/>
      <c r="R268" s="44"/>
    </row>
    <row r="269" spans="1:18" ht="13.5" customHeight="1" x14ac:dyDescent="0.2">
      <c r="C269" s="149"/>
      <c r="D269" s="150"/>
      <c r="E269" s="150"/>
      <c r="F269" s="150"/>
      <c r="G269" s="149"/>
      <c r="H269" s="47"/>
      <c r="J269" s="44"/>
      <c r="L269" s="44"/>
      <c r="M269" s="44"/>
      <c r="N269" s="44"/>
      <c r="O269" s="44"/>
      <c r="P269" s="44"/>
      <c r="Q269" s="44"/>
      <c r="R269" s="44"/>
    </row>
    <row r="270" spans="1:18" ht="13.5" customHeight="1" x14ac:dyDescent="0.2">
      <c r="C270" s="149"/>
      <c r="D270" s="150"/>
      <c r="E270" s="150"/>
      <c r="F270" s="150"/>
      <c r="G270" s="149"/>
      <c r="H270" s="47"/>
      <c r="J270" s="44"/>
      <c r="L270" s="44"/>
      <c r="M270" s="44"/>
      <c r="N270" s="44"/>
      <c r="O270" s="44"/>
      <c r="P270" s="44"/>
      <c r="Q270" s="44"/>
      <c r="R270" s="44"/>
    </row>
    <row r="271" spans="1:18" ht="13.5" customHeight="1" x14ac:dyDescent="0.2">
      <c r="C271" s="149"/>
      <c r="D271" s="150"/>
      <c r="E271" s="150"/>
      <c r="F271" s="150"/>
      <c r="G271" s="149"/>
      <c r="H271" s="47"/>
      <c r="J271" s="44"/>
      <c r="L271" s="44"/>
      <c r="M271" s="44"/>
      <c r="N271" s="44"/>
      <c r="O271" s="44"/>
      <c r="P271" s="44"/>
      <c r="Q271" s="44"/>
      <c r="R271" s="44"/>
    </row>
    <row r="272" spans="1:18" ht="13.5" customHeight="1" x14ac:dyDescent="0.2">
      <c r="C272" s="149"/>
      <c r="D272" s="150"/>
      <c r="E272" s="150"/>
      <c r="F272" s="150"/>
      <c r="G272" s="149"/>
      <c r="H272" s="47"/>
      <c r="I272" s="148" t="s">
        <v>56</v>
      </c>
      <c r="J272" s="148">
        <f>Startår</f>
        <v>2022</v>
      </c>
      <c r="K272" s="148">
        <f>J272+1</f>
        <v>2023</v>
      </c>
      <c r="L272" s="148">
        <f>K272+1</f>
        <v>2024</v>
      </c>
      <c r="M272" s="148">
        <f>L272+1</f>
        <v>2025</v>
      </c>
      <c r="N272" s="148">
        <f>M272+1</f>
        <v>2026</v>
      </c>
      <c r="O272" s="148">
        <f>N272+1</f>
        <v>2027</v>
      </c>
      <c r="P272" s="148" t="s">
        <v>10</v>
      </c>
      <c r="Q272" s="44"/>
      <c r="R272" s="44"/>
    </row>
    <row r="273" spans="1:18" ht="13.5" customHeight="1" thickBot="1" x14ac:dyDescent="0.25">
      <c r="C273" s="149"/>
      <c r="D273" s="150"/>
      <c r="E273" s="150"/>
      <c r="F273" s="150"/>
      <c r="G273" s="149"/>
      <c r="H273" s="47"/>
      <c r="I273" s="148" t="s">
        <v>15</v>
      </c>
      <c r="J273" s="152"/>
      <c r="K273" s="152"/>
      <c r="L273" s="152"/>
      <c r="M273" s="152"/>
      <c r="N273" s="152"/>
      <c r="O273" s="152"/>
      <c r="P273" s="154">
        <f>SUM(J273:O273)</f>
        <v>0</v>
      </c>
      <c r="Q273" s="44"/>
      <c r="R273" s="44"/>
    </row>
    <row r="274" spans="1:18" ht="13.5" customHeight="1" thickTop="1" thickBot="1" x14ac:dyDescent="0.25">
      <c r="C274" s="149"/>
      <c r="D274" s="150"/>
      <c r="E274" s="150"/>
      <c r="F274" s="150"/>
      <c r="G274" s="149"/>
      <c r="H274" s="47"/>
      <c r="I274" s="148" t="s">
        <v>55</v>
      </c>
      <c r="J274" s="152"/>
      <c r="K274" s="152"/>
      <c r="L274" s="152"/>
      <c r="M274" s="152"/>
      <c r="N274" s="152"/>
      <c r="O274" s="152"/>
      <c r="P274" s="155">
        <f>SUM(J274:O274)</f>
        <v>0</v>
      </c>
      <c r="Q274" s="44"/>
      <c r="R274" s="44"/>
    </row>
    <row r="275" spans="1:18" ht="13.5" customHeight="1" thickTop="1" thickBot="1" x14ac:dyDescent="0.25">
      <c r="C275" s="158"/>
      <c r="D275" s="159"/>
      <c r="E275" s="159"/>
      <c r="F275" s="159"/>
      <c r="G275" s="158"/>
      <c r="H275" s="47"/>
      <c r="I275" s="148" t="s">
        <v>3</v>
      </c>
      <c r="J275" s="152"/>
      <c r="K275" s="152"/>
      <c r="L275" s="152"/>
      <c r="M275" s="152"/>
      <c r="N275" s="152"/>
      <c r="O275" s="152"/>
      <c r="P275" s="153">
        <f>SUM(J275:O275)</f>
        <v>0</v>
      </c>
      <c r="Q275" s="44"/>
      <c r="R275" s="44"/>
    </row>
    <row r="276" spans="1:18" ht="13.5" customHeight="1" thickTop="1" x14ac:dyDescent="0.2">
      <c r="C276" s="156" t="s">
        <v>70</v>
      </c>
      <c r="D276" s="157"/>
      <c r="E276" s="157"/>
      <c r="F276" s="157"/>
      <c r="G276" s="48"/>
      <c r="H276" s="48"/>
      <c r="Q276" s="44"/>
      <c r="R276" s="44"/>
    </row>
    <row r="277" spans="1:18" ht="13.5" customHeight="1" x14ac:dyDescent="0.2">
      <c r="Q277" s="44"/>
      <c r="R277" s="44"/>
    </row>
    <row r="278" spans="1:18" ht="13.5" customHeight="1" x14ac:dyDescent="0.2">
      <c r="Q278" s="44"/>
      <c r="R278" s="44"/>
    </row>
    <row r="279" spans="1:18" ht="13.5" customHeight="1" x14ac:dyDescent="0.2">
      <c r="Q279" s="44"/>
      <c r="R279" s="44"/>
    </row>
    <row r="280" spans="1:18" ht="13.5" customHeight="1" x14ac:dyDescent="0.2">
      <c r="I280" s="53"/>
      <c r="J280" s="54"/>
      <c r="K280" s="54"/>
      <c r="L280" s="54"/>
      <c r="P280" s="34"/>
      <c r="Q280" s="44"/>
      <c r="R280" s="44"/>
    </row>
    <row r="281" spans="1:18" ht="13.5" customHeight="1" x14ac:dyDescent="0.2">
      <c r="A281" s="148">
        <v>13</v>
      </c>
      <c r="B281" s="41"/>
      <c r="C281" s="148" t="s">
        <v>64</v>
      </c>
      <c r="D281" s="186"/>
      <c r="E281" s="187"/>
      <c r="F281" s="188"/>
      <c r="G281" s="189"/>
      <c r="H281" s="41"/>
      <c r="J281" s="44"/>
      <c r="L281" s="44"/>
      <c r="M281" s="44"/>
      <c r="N281" s="44"/>
      <c r="O281" s="44"/>
      <c r="P281" s="44"/>
      <c r="Q281" s="44"/>
      <c r="R281" s="44"/>
    </row>
    <row r="282" spans="1:18" ht="13.5" customHeight="1" x14ac:dyDescent="0.2">
      <c r="B282" s="41"/>
      <c r="C282" s="148" t="s">
        <v>7</v>
      </c>
      <c r="D282" s="150"/>
      <c r="H282" s="46"/>
      <c r="J282" s="44"/>
      <c r="L282" s="44"/>
      <c r="M282" s="44"/>
      <c r="N282" s="44"/>
      <c r="O282" s="44"/>
      <c r="P282" s="44"/>
      <c r="Q282" s="44"/>
      <c r="R282" s="44"/>
    </row>
    <row r="283" spans="1:18" ht="13.5" customHeight="1" x14ac:dyDescent="0.2">
      <c r="A283" s="41"/>
      <c r="B283" s="41"/>
      <c r="C283" s="148" t="s">
        <v>22</v>
      </c>
      <c r="D283" s="151"/>
      <c r="H283" s="41"/>
      <c r="J283" s="44"/>
      <c r="L283" s="44"/>
      <c r="M283" s="44"/>
      <c r="N283" s="44"/>
      <c r="O283" s="44"/>
      <c r="P283" s="44"/>
      <c r="Q283" s="44"/>
      <c r="R283" s="44"/>
    </row>
    <row r="284" spans="1:18" ht="13.5" customHeight="1" x14ac:dyDescent="0.2">
      <c r="J284" s="44"/>
      <c r="L284" s="44"/>
      <c r="M284" s="44"/>
      <c r="N284" s="44"/>
      <c r="O284" s="44"/>
      <c r="P284" s="44"/>
      <c r="Q284" s="44"/>
      <c r="R284" s="44"/>
    </row>
    <row r="285" spans="1:18" ht="13.5" customHeight="1" x14ac:dyDescent="0.2">
      <c r="C285" s="148" t="s">
        <v>57</v>
      </c>
      <c r="D285" s="148" t="s">
        <v>54</v>
      </c>
      <c r="E285" s="148" t="s">
        <v>2</v>
      </c>
      <c r="F285" s="148" t="s">
        <v>3</v>
      </c>
      <c r="G285" s="148" t="s">
        <v>42</v>
      </c>
      <c r="J285" s="44"/>
      <c r="L285" s="44"/>
      <c r="M285" s="44"/>
      <c r="N285" s="44"/>
      <c r="O285" s="44"/>
      <c r="P285" s="44"/>
      <c r="Q285" s="44"/>
      <c r="R285" s="44"/>
    </row>
    <row r="286" spans="1:18" ht="13.5" customHeight="1" x14ac:dyDescent="0.2">
      <c r="B286" s="26"/>
      <c r="C286" s="149"/>
      <c r="D286" s="150"/>
      <c r="E286" s="150"/>
      <c r="F286" s="150"/>
      <c r="G286" s="149"/>
      <c r="J286" s="44"/>
      <c r="L286" s="44"/>
      <c r="M286" s="44"/>
      <c r="N286" s="44"/>
      <c r="O286" s="44"/>
      <c r="P286" s="44"/>
      <c r="Q286" s="44"/>
      <c r="R286" s="44"/>
    </row>
    <row r="287" spans="1:18" ht="13.5" customHeight="1" x14ac:dyDescent="0.2">
      <c r="C287" s="149"/>
      <c r="D287" s="150"/>
      <c r="E287" s="150"/>
      <c r="F287" s="150"/>
      <c r="G287" s="149"/>
      <c r="H287" s="47"/>
      <c r="J287" s="44"/>
      <c r="L287" s="44"/>
      <c r="M287" s="44"/>
      <c r="N287" s="44"/>
      <c r="O287" s="44"/>
      <c r="P287" s="44"/>
      <c r="Q287" s="44"/>
      <c r="R287" s="44"/>
    </row>
    <row r="288" spans="1:18" ht="13.5" customHeight="1" x14ac:dyDescent="0.2">
      <c r="C288" s="149"/>
      <c r="D288" s="150"/>
      <c r="E288" s="150"/>
      <c r="F288" s="150"/>
      <c r="G288" s="149"/>
      <c r="H288" s="47"/>
      <c r="J288" s="44"/>
      <c r="L288" s="44"/>
      <c r="M288" s="44"/>
      <c r="N288" s="44"/>
      <c r="O288" s="44"/>
      <c r="P288" s="44"/>
      <c r="Q288" s="44"/>
      <c r="R288" s="44"/>
    </row>
    <row r="289" spans="1:18" ht="13.5" customHeight="1" x14ac:dyDescent="0.2">
      <c r="C289" s="149"/>
      <c r="D289" s="150"/>
      <c r="E289" s="150"/>
      <c r="F289" s="150"/>
      <c r="G289" s="149"/>
      <c r="H289" s="47"/>
      <c r="J289" s="44"/>
      <c r="L289" s="44"/>
      <c r="M289" s="44"/>
      <c r="N289" s="44"/>
      <c r="O289" s="44"/>
      <c r="P289" s="44"/>
      <c r="Q289" s="44"/>
      <c r="R289" s="44"/>
    </row>
    <row r="290" spans="1:18" ht="13.5" customHeight="1" x14ac:dyDescent="0.2">
      <c r="C290" s="149"/>
      <c r="D290" s="150"/>
      <c r="E290" s="150"/>
      <c r="F290" s="150"/>
      <c r="G290" s="149"/>
      <c r="H290" s="47"/>
      <c r="J290" s="44"/>
      <c r="L290" s="44"/>
      <c r="M290" s="44"/>
      <c r="N290" s="44"/>
      <c r="O290" s="44"/>
      <c r="P290" s="44"/>
      <c r="Q290" s="44"/>
      <c r="R290" s="44"/>
    </row>
    <row r="291" spans="1:18" ht="13.5" customHeight="1" x14ac:dyDescent="0.2">
      <c r="C291" s="149"/>
      <c r="D291" s="150"/>
      <c r="E291" s="150"/>
      <c r="F291" s="150"/>
      <c r="G291" s="149"/>
      <c r="H291" s="47"/>
      <c r="J291" s="44"/>
      <c r="L291" s="44"/>
      <c r="M291" s="44"/>
      <c r="N291" s="44"/>
      <c r="O291" s="44"/>
      <c r="P291" s="44"/>
      <c r="Q291" s="44"/>
      <c r="R291" s="44"/>
    </row>
    <row r="292" spans="1:18" ht="13.5" customHeight="1" x14ac:dyDescent="0.2">
      <c r="C292" s="149"/>
      <c r="D292" s="150"/>
      <c r="E292" s="150"/>
      <c r="F292" s="150"/>
      <c r="G292" s="149"/>
      <c r="H292" s="47"/>
      <c r="J292" s="44"/>
      <c r="L292" s="44"/>
      <c r="M292" s="44"/>
      <c r="N292" s="44"/>
      <c r="O292" s="44"/>
      <c r="P292" s="44"/>
      <c r="Q292" s="44"/>
      <c r="R292" s="44"/>
    </row>
    <row r="293" spans="1:18" ht="13.5" customHeight="1" x14ac:dyDescent="0.2">
      <c r="C293" s="149"/>
      <c r="D293" s="150"/>
      <c r="E293" s="150"/>
      <c r="F293" s="150"/>
      <c r="G293" s="149"/>
      <c r="H293" s="47"/>
      <c r="J293" s="44"/>
      <c r="L293" s="44"/>
      <c r="M293" s="44"/>
      <c r="N293" s="44"/>
      <c r="O293" s="44"/>
      <c r="P293" s="44"/>
      <c r="Q293" s="44"/>
      <c r="R293" s="44"/>
    </row>
    <row r="294" spans="1:18" ht="13.5" customHeight="1" x14ac:dyDescent="0.2">
      <c r="C294" s="149"/>
      <c r="D294" s="150"/>
      <c r="E294" s="150"/>
      <c r="F294" s="150"/>
      <c r="G294" s="149"/>
      <c r="H294" s="47"/>
      <c r="J294" s="44"/>
      <c r="L294" s="44"/>
      <c r="M294" s="44"/>
      <c r="N294" s="44"/>
      <c r="O294" s="44"/>
      <c r="P294" s="44"/>
      <c r="Q294" s="44"/>
      <c r="R294" s="44"/>
    </row>
    <row r="295" spans="1:18" ht="13.5" customHeight="1" x14ac:dyDescent="0.2">
      <c r="C295" s="149"/>
      <c r="D295" s="150"/>
      <c r="E295" s="150"/>
      <c r="F295" s="150"/>
      <c r="G295" s="149"/>
      <c r="H295" s="47"/>
      <c r="I295" s="148" t="s">
        <v>56</v>
      </c>
      <c r="J295" s="148">
        <f>Startår</f>
        <v>2022</v>
      </c>
      <c r="K295" s="148">
        <f>J295+1</f>
        <v>2023</v>
      </c>
      <c r="L295" s="148">
        <f>K295+1</f>
        <v>2024</v>
      </c>
      <c r="M295" s="148">
        <f>L295+1</f>
        <v>2025</v>
      </c>
      <c r="N295" s="148">
        <f>M295+1</f>
        <v>2026</v>
      </c>
      <c r="O295" s="148">
        <f>N295+1</f>
        <v>2027</v>
      </c>
      <c r="P295" s="148" t="s">
        <v>10</v>
      </c>
      <c r="Q295" s="44"/>
      <c r="R295" s="44"/>
    </row>
    <row r="296" spans="1:18" ht="13.5" customHeight="1" thickBot="1" x14ac:dyDescent="0.25">
      <c r="C296" s="149"/>
      <c r="D296" s="150"/>
      <c r="E296" s="150"/>
      <c r="F296" s="150"/>
      <c r="G296" s="149"/>
      <c r="H296" s="47"/>
      <c r="I296" s="148" t="s">
        <v>15</v>
      </c>
      <c r="J296" s="152"/>
      <c r="K296" s="152"/>
      <c r="L296" s="152"/>
      <c r="M296" s="152"/>
      <c r="N296" s="152"/>
      <c r="O296" s="152"/>
      <c r="P296" s="154">
        <f>SUM(J296:O296)</f>
        <v>0</v>
      </c>
      <c r="Q296" s="44"/>
      <c r="R296" s="44"/>
    </row>
    <row r="297" spans="1:18" ht="13.5" customHeight="1" thickTop="1" thickBot="1" x14ac:dyDescent="0.25">
      <c r="C297" s="149"/>
      <c r="D297" s="150"/>
      <c r="E297" s="150"/>
      <c r="F297" s="150"/>
      <c r="G297" s="149"/>
      <c r="H297" s="47"/>
      <c r="I297" s="148" t="s">
        <v>55</v>
      </c>
      <c r="J297" s="152"/>
      <c r="K297" s="152"/>
      <c r="L297" s="152"/>
      <c r="M297" s="152"/>
      <c r="N297" s="152"/>
      <c r="O297" s="152"/>
      <c r="P297" s="155">
        <f>SUM(J297:O297)</f>
        <v>0</v>
      </c>
      <c r="Q297" s="44"/>
      <c r="R297" s="44"/>
    </row>
    <row r="298" spans="1:18" ht="13.5" customHeight="1" thickTop="1" thickBot="1" x14ac:dyDescent="0.25">
      <c r="C298" s="158"/>
      <c r="D298" s="159"/>
      <c r="E298" s="159"/>
      <c r="F298" s="159"/>
      <c r="G298" s="158"/>
      <c r="H298" s="47"/>
      <c r="I298" s="148" t="s">
        <v>3</v>
      </c>
      <c r="J298" s="152"/>
      <c r="K298" s="152"/>
      <c r="L298" s="152"/>
      <c r="M298" s="152"/>
      <c r="N298" s="152"/>
      <c r="O298" s="152"/>
      <c r="P298" s="153">
        <f>SUM(J298:O298)</f>
        <v>0</v>
      </c>
      <c r="Q298" s="44"/>
      <c r="R298" s="44"/>
    </row>
    <row r="299" spans="1:18" ht="13.5" customHeight="1" thickTop="1" x14ac:dyDescent="0.2">
      <c r="C299" s="156" t="s">
        <v>70</v>
      </c>
      <c r="D299" s="157"/>
      <c r="E299" s="157"/>
      <c r="F299" s="157"/>
      <c r="G299" s="48"/>
      <c r="H299" s="48"/>
      <c r="Q299" s="44"/>
      <c r="R299" s="44"/>
    </row>
    <row r="300" spans="1:18" ht="13.5" customHeight="1" x14ac:dyDescent="0.2">
      <c r="Q300" s="44"/>
      <c r="R300" s="44"/>
    </row>
    <row r="301" spans="1:18" ht="13.5" customHeight="1" x14ac:dyDescent="0.2">
      <c r="Q301" s="44"/>
      <c r="R301" s="44"/>
    </row>
    <row r="302" spans="1:18" ht="13.5" customHeight="1" x14ac:dyDescent="0.2">
      <c r="Q302" s="44"/>
      <c r="R302" s="44"/>
    </row>
    <row r="303" spans="1:18" ht="13.5" customHeight="1" x14ac:dyDescent="0.2">
      <c r="I303" s="53"/>
      <c r="J303" s="54"/>
      <c r="K303" s="54"/>
      <c r="L303" s="54"/>
      <c r="P303" s="34"/>
      <c r="Q303" s="44"/>
      <c r="R303" s="44"/>
    </row>
    <row r="304" spans="1:18" ht="13.5" customHeight="1" x14ac:dyDescent="0.2">
      <c r="A304" s="148">
        <v>14</v>
      </c>
      <c r="B304" s="41"/>
      <c r="C304" s="148" t="s">
        <v>64</v>
      </c>
      <c r="D304" s="186"/>
      <c r="E304" s="187"/>
      <c r="F304" s="188"/>
      <c r="G304" s="189"/>
      <c r="H304" s="41"/>
      <c r="J304" s="44"/>
      <c r="L304" s="44"/>
      <c r="M304" s="44"/>
      <c r="N304" s="44"/>
      <c r="O304" s="44"/>
      <c r="P304" s="44"/>
      <c r="Q304" s="44"/>
      <c r="R304" s="44"/>
    </row>
    <row r="305" spans="1:18" ht="13.5" customHeight="1" x14ac:dyDescent="0.2">
      <c r="A305" s="41"/>
      <c r="B305" s="41"/>
      <c r="C305" s="148" t="s">
        <v>7</v>
      </c>
      <c r="D305" s="150"/>
      <c r="H305" s="46"/>
      <c r="J305" s="44"/>
      <c r="L305" s="44"/>
      <c r="M305" s="44"/>
      <c r="N305" s="44"/>
      <c r="O305" s="44"/>
      <c r="P305" s="44"/>
      <c r="Q305" s="44"/>
      <c r="R305" s="44"/>
    </row>
    <row r="306" spans="1:18" ht="13.5" customHeight="1" x14ac:dyDescent="0.2">
      <c r="B306" s="41"/>
      <c r="C306" s="148" t="s">
        <v>22</v>
      </c>
      <c r="D306" s="151"/>
      <c r="H306" s="41"/>
      <c r="J306" s="44"/>
      <c r="L306" s="44"/>
      <c r="M306" s="44"/>
      <c r="N306" s="44"/>
      <c r="O306" s="44"/>
      <c r="P306" s="44"/>
      <c r="Q306" s="44"/>
      <c r="R306" s="44"/>
    </row>
    <row r="307" spans="1:18" ht="13.5" customHeight="1" x14ac:dyDescent="0.2">
      <c r="J307" s="44"/>
      <c r="L307" s="44"/>
      <c r="M307" s="44"/>
      <c r="N307" s="44"/>
      <c r="O307" s="44"/>
      <c r="P307" s="44"/>
      <c r="Q307" s="44"/>
      <c r="R307" s="44"/>
    </row>
    <row r="308" spans="1:18" ht="13.5" customHeight="1" x14ac:dyDescent="0.2">
      <c r="C308" s="148" t="s">
        <v>57</v>
      </c>
      <c r="D308" s="148" t="s">
        <v>54</v>
      </c>
      <c r="E308" s="148" t="s">
        <v>2</v>
      </c>
      <c r="F308" s="148" t="s">
        <v>3</v>
      </c>
      <c r="G308" s="148" t="s">
        <v>42</v>
      </c>
      <c r="J308" s="44"/>
      <c r="L308" s="44"/>
      <c r="M308" s="44"/>
      <c r="N308" s="44"/>
      <c r="O308" s="44"/>
      <c r="P308" s="44"/>
      <c r="Q308" s="44"/>
      <c r="R308" s="44"/>
    </row>
    <row r="309" spans="1:18" ht="13.5" customHeight="1" x14ac:dyDescent="0.2">
      <c r="B309" s="26"/>
      <c r="C309" s="149"/>
      <c r="D309" s="150"/>
      <c r="E309" s="150"/>
      <c r="F309" s="150"/>
      <c r="G309" s="149"/>
      <c r="J309" s="44"/>
      <c r="L309" s="44"/>
      <c r="M309" s="44"/>
      <c r="N309" s="44"/>
      <c r="O309" s="44"/>
      <c r="P309" s="44"/>
      <c r="Q309" s="44"/>
      <c r="R309" s="44"/>
    </row>
    <row r="310" spans="1:18" ht="13.5" customHeight="1" x14ac:dyDescent="0.2">
      <c r="C310" s="149"/>
      <c r="D310" s="150"/>
      <c r="E310" s="150"/>
      <c r="F310" s="150"/>
      <c r="G310" s="149"/>
      <c r="H310" s="47"/>
      <c r="J310" s="44"/>
      <c r="L310" s="44"/>
      <c r="M310" s="44"/>
      <c r="N310" s="44"/>
      <c r="O310" s="44"/>
      <c r="P310" s="44"/>
      <c r="Q310" s="44"/>
      <c r="R310" s="44"/>
    </row>
    <row r="311" spans="1:18" ht="13.5" customHeight="1" x14ac:dyDescent="0.2">
      <c r="C311" s="149"/>
      <c r="D311" s="150"/>
      <c r="E311" s="150"/>
      <c r="F311" s="150"/>
      <c r="G311" s="149"/>
      <c r="H311" s="47"/>
      <c r="J311" s="44"/>
      <c r="L311" s="44"/>
      <c r="M311" s="44"/>
      <c r="N311" s="44"/>
      <c r="O311" s="44"/>
      <c r="P311" s="44"/>
      <c r="Q311" s="44"/>
      <c r="R311" s="44"/>
    </row>
    <row r="312" spans="1:18" ht="13.5" customHeight="1" x14ac:dyDescent="0.2">
      <c r="C312" s="149"/>
      <c r="D312" s="150"/>
      <c r="E312" s="150"/>
      <c r="F312" s="150"/>
      <c r="G312" s="149"/>
      <c r="H312" s="47"/>
      <c r="J312" s="44"/>
      <c r="L312" s="44"/>
      <c r="M312" s="44"/>
      <c r="N312" s="44"/>
      <c r="O312" s="44"/>
      <c r="P312" s="44"/>
      <c r="Q312" s="44"/>
      <c r="R312" s="44"/>
    </row>
    <row r="313" spans="1:18" ht="13.5" customHeight="1" x14ac:dyDescent="0.2">
      <c r="C313" s="149"/>
      <c r="D313" s="150"/>
      <c r="E313" s="150"/>
      <c r="F313" s="150"/>
      <c r="G313" s="149"/>
      <c r="H313" s="47"/>
      <c r="J313" s="44"/>
      <c r="L313" s="44"/>
      <c r="M313" s="44"/>
      <c r="N313" s="44"/>
      <c r="O313" s="44"/>
      <c r="P313" s="44"/>
      <c r="Q313" s="44"/>
      <c r="R313" s="44"/>
    </row>
    <row r="314" spans="1:18" ht="13.5" customHeight="1" x14ac:dyDescent="0.2">
      <c r="C314" s="149"/>
      <c r="D314" s="150"/>
      <c r="E314" s="150"/>
      <c r="F314" s="150"/>
      <c r="G314" s="149"/>
      <c r="H314" s="47"/>
      <c r="J314" s="44"/>
      <c r="L314" s="44"/>
      <c r="M314" s="44"/>
      <c r="N314" s="44"/>
      <c r="O314" s="44"/>
      <c r="P314" s="44"/>
      <c r="Q314" s="44"/>
      <c r="R314" s="44"/>
    </row>
    <row r="315" spans="1:18" ht="13.5" customHeight="1" x14ac:dyDescent="0.2">
      <c r="C315" s="149"/>
      <c r="D315" s="150"/>
      <c r="E315" s="150"/>
      <c r="F315" s="150"/>
      <c r="G315" s="149"/>
      <c r="H315" s="47"/>
      <c r="J315" s="44"/>
      <c r="L315" s="44"/>
      <c r="M315" s="44"/>
      <c r="N315" s="44"/>
      <c r="O315" s="44"/>
      <c r="P315" s="44"/>
      <c r="Q315" s="44"/>
      <c r="R315" s="44"/>
    </row>
    <row r="316" spans="1:18" ht="13.5" customHeight="1" x14ac:dyDescent="0.2">
      <c r="C316" s="149"/>
      <c r="D316" s="150"/>
      <c r="E316" s="150"/>
      <c r="F316" s="150"/>
      <c r="G316" s="149"/>
      <c r="H316" s="47"/>
      <c r="J316" s="44"/>
      <c r="L316" s="44"/>
      <c r="M316" s="44"/>
      <c r="N316" s="44"/>
      <c r="O316" s="44"/>
      <c r="P316" s="44"/>
      <c r="Q316" s="44"/>
      <c r="R316" s="44"/>
    </row>
    <row r="317" spans="1:18" ht="13.5" customHeight="1" x14ac:dyDescent="0.2">
      <c r="C317" s="149"/>
      <c r="D317" s="150"/>
      <c r="E317" s="150"/>
      <c r="F317" s="150"/>
      <c r="G317" s="149"/>
      <c r="H317" s="47"/>
      <c r="J317" s="44"/>
      <c r="L317" s="44"/>
      <c r="M317" s="44"/>
      <c r="N317" s="44"/>
      <c r="O317" s="44"/>
      <c r="P317" s="44"/>
      <c r="Q317" s="44"/>
      <c r="R317" s="44"/>
    </row>
    <row r="318" spans="1:18" ht="13.5" customHeight="1" x14ac:dyDescent="0.2">
      <c r="C318" s="149"/>
      <c r="D318" s="150"/>
      <c r="E318" s="150"/>
      <c r="F318" s="150"/>
      <c r="G318" s="149"/>
      <c r="H318" s="47"/>
      <c r="I318" s="148" t="s">
        <v>56</v>
      </c>
      <c r="J318" s="148">
        <f>Startår</f>
        <v>2022</v>
      </c>
      <c r="K318" s="148">
        <f>J318+1</f>
        <v>2023</v>
      </c>
      <c r="L318" s="148">
        <f>K318+1</f>
        <v>2024</v>
      </c>
      <c r="M318" s="148">
        <f>L318+1</f>
        <v>2025</v>
      </c>
      <c r="N318" s="148">
        <f>M318+1</f>
        <v>2026</v>
      </c>
      <c r="O318" s="148">
        <f>N318+1</f>
        <v>2027</v>
      </c>
      <c r="P318" s="148" t="s">
        <v>10</v>
      </c>
      <c r="Q318" s="44"/>
      <c r="R318" s="44"/>
    </row>
    <row r="319" spans="1:18" ht="13.5" customHeight="1" thickBot="1" x14ac:dyDescent="0.25">
      <c r="C319" s="149"/>
      <c r="D319" s="150"/>
      <c r="E319" s="150"/>
      <c r="F319" s="150"/>
      <c r="G319" s="149"/>
      <c r="H319" s="47"/>
      <c r="I319" s="148" t="s">
        <v>15</v>
      </c>
      <c r="J319" s="152"/>
      <c r="K319" s="152"/>
      <c r="L319" s="152"/>
      <c r="M319" s="152"/>
      <c r="N319" s="152"/>
      <c r="O319" s="152"/>
      <c r="P319" s="154">
        <f>SUM(J319:O319)</f>
        <v>0</v>
      </c>
      <c r="Q319" s="44"/>
      <c r="R319" s="44"/>
    </row>
    <row r="320" spans="1:18" ht="13.5" customHeight="1" thickTop="1" thickBot="1" x14ac:dyDescent="0.25">
      <c r="C320" s="149"/>
      <c r="D320" s="150"/>
      <c r="E320" s="150"/>
      <c r="F320" s="150"/>
      <c r="G320" s="149"/>
      <c r="H320" s="47"/>
      <c r="I320" s="148" t="s">
        <v>55</v>
      </c>
      <c r="J320" s="152"/>
      <c r="K320" s="152"/>
      <c r="L320" s="152"/>
      <c r="M320" s="152"/>
      <c r="N320" s="152"/>
      <c r="O320" s="152"/>
      <c r="P320" s="155">
        <f>SUM(J320:O320)</f>
        <v>0</v>
      </c>
      <c r="Q320" s="44"/>
      <c r="R320" s="44"/>
    </row>
    <row r="321" spans="1:18" ht="13.5" customHeight="1" thickTop="1" thickBot="1" x14ac:dyDescent="0.25">
      <c r="C321" s="158"/>
      <c r="D321" s="159"/>
      <c r="E321" s="159"/>
      <c r="F321" s="159"/>
      <c r="G321" s="158"/>
      <c r="H321" s="47"/>
      <c r="I321" s="148" t="s">
        <v>3</v>
      </c>
      <c r="J321" s="152"/>
      <c r="K321" s="152"/>
      <c r="L321" s="152"/>
      <c r="M321" s="152"/>
      <c r="N321" s="152"/>
      <c r="O321" s="152"/>
      <c r="P321" s="153">
        <f>SUM(J321:O321)</f>
        <v>0</v>
      </c>
      <c r="Q321" s="44"/>
      <c r="R321" s="44"/>
    </row>
    <row r="322" spans="1:18" ht="13.5" customHeight="1" thickTop="1" x14ac:dyDescent="0.2">
      <c r="C322" s="156" t="s">
        <v>70</v>
      </c>
      <c r="D322" s="157"/>
      <c r="E322" s="157"/>
      <c r="F322" s="157"/>
      <c r="G322" s="48"/>
      <c r="H322" s="48"/>
      <c r="Q322" s="44"/>
      <c r="R322" s="44"/>
    </row>
    <row r="323" spans="1:18" ht="13.5" customHeight="1" x14ac:dyDescent="0.2">
      <c r="Q323" s="44"/>
      <c r="R323" s="44"/>
    </row>
    <row r="324" spans="1:18" ht="13.5" customHeight="1" x14ac:dyDescent="0.2">
      <c r="Q324" s="44"/>
      <c r="R324" s="44"/>
    </row>
    <row r="325" spans="1:18" ht="13.5" customHeight="1" x14ac:dyDescent="0.2">
      <c r="Q325" s="44"/>
      <c r="R325" s="44"/>
    </row>
    <row r="326" spans="1:18" ht="13.5" customHeight="1" x14ac:dyDescent="0.2">
      <c r="I326" s="53"/>
      <c r="J326" s="54"/>
      <c r="K326" s="54"/>
      <c r="L326" s="54"/>
      <c r="P326" s="34"/>
      <c r="Q326" s="44"/>
      <c r="R326" s="44"/>
    </row>
    <row r="327" spans="1:18" ht="13.5" customHeight="1" x14ac:dyDescent="0.2">
      <c r="A327" s="148">
        <v>15</v>
      </c>
      <c r="B327" s="41"/>
      <c r="C327" s="148" t="s">
        <v>64</v>
      </c>
      <c r="D327" s="186"/>
      <c r="E327" s="187"/>
      <c r="F327" s="188"/>
      <c r="G327" s="189"/>
      <c r="H327" s="41"/>
      <c r="J327" s="44"/>
      <c r="L327" s="44"/>
      <c r="M327" s="44"/>
      <c r="N327" s="44"/>
      <c r="O327" s="44"/>
      <c r="P327" s="44"/>
      <c r="Q327" s="44"/>
      <c r="R327" s="44"/>
    </row>
    <row r="328" spans="1:18" ht="13.5" customHeight="1" x14ac:dyDescent="0.2">
      <c r="B328" s="41"/>
      <c r="C328" s="148" t="s">
        <v>7</v>
      </c>
      <c r="D328" s="150"/>
      <c r="H328" s="46"/>
      <c r="J328" s="44"/>
      <c r="L328" s="44"/>
      <c r="M328" s="44"/>
      <c r="N328" s="44"/>
      <c r="O328" s="44"/>
      <c r="P328" s="44"/>
      <c r="Q328" s="44"/>
      <c r="R328" s="44"/>
    </row>
    <row r="329" spans="1:18" ht="13.5" customHeight="1" x14ac:dyDescent="0.2">
      <c r="A329" s="41"/>
      <c r="B329" s="41"/>
      <c r="C329" s="148" t="s">
        <v>22</v>
      </c>
      <c r="D329" s="151"/>
      <c r="H329" s="41"/>
      <c r="J329" s="44"/>
      <c r="L329" s="44"/>
      <c r="M329" s="44"/>
      <c r="N329" s="44"/>
      <c r="O329" s="44"/>
      <c r="P329" s="44"/>
      <c r="Q329" s="44"/>
      <c r="R329" s="44"/>
    </row>
    <row r="330" spans="1:18" ht="13.5" customHeight="1" x14ac:dyDescent="0.2">
      <c r="J330" s="44"/>
      <c r="L330" s="44"/>
      <c r="M330" s="44"/>
      <c r="N330" s="44"/>
      <c r="O330" s="44"/>
      <c r="P330" s="44"/>
      <c r="Q330" s="44"/>
      <c r="R330" s="44"/>
    </row>
    <row r="331" spans="1:18" ht="13.5" customHeight="1" x14ac:dyDescent="0.2">
      <c r="C331" s="148" t="s">
        <v>57</v>
      </c>
      <c r="D331" s="148" t="s">
        <v>54</v>
      </c>
      <c r="E331" s="148" t="s">
        <v>2</v>
      </c>
      <c r="F331" s="148" t="s">
        <v>3</v>
      </c>
      <c r="G331" s="148" t="s">
        <v>42</v>
      </c>
      <c r="J331" s="44"/>
      <c r="L331" s="44"/>
      <c r="M331" s="44"/>
      <c r="N331" s="44"/>
      <c r="O331" s="44"/>
      <c r="P331" s="44"/>
      <c r="Q331" s="44"/>
      <c r="R331" s="44"/>
    </row>
    <row r="332" spans="1:18" ht="13.5" customHeight="1" x14ac:dyDescent="0.2">
      <c r="B332" s="26"/>
      <c r="C332" s="149"/>
      <c r="D332" s="150"/>
      <c r="E332" s="150"/>
      <c r="F332" s="150"/>
      <c r="G332" s="149"/>
      <c r="J332" s="44"/>
      <c r="L332" s="44"/>
      <c r="M332" s="44"/>
      <c r="N332" s="44"/>
      <c r="O332" s="44"/>
      <c r="P332" s="44"/>
      <c r="Q332" s="44"/>
      <c r="R332" s="44"/>
    </row>
    <row r="333" spans="1:18" ht="13.5" customHeight="1" x14ac:dyDescent="0.2">
      <c r="C333" s="149"/>
      <c r="D333" s="150"/>
      <c r="E333" s="150"/>
      <c r="F333" s="150"/>
      <c r="G333" s="149"/>
      <c r="H333" s="47"/>
      <c r="J333" s="44"/>
      <c r="L333" s="44"/>
      <c r="M333" s="44"/>
      <c r="N333" s="44"/>
      <c r="O333" s="44"/>
      <c r="P333" s="44"/>
    </row>
    <row r="334" spans="1:18" ht="13.5" customHeight="1" x14ac:dyDescent="0.2">
      <c r="C334" s="149"/>
      <c r="D334" s="150"/>
      <c r="E334" s="150"/>
      <c r="F334" s="150"/>
      <c r="G334" s="149"/>
      <c r="H334" s="47"/>
      <c r="J334" s="44"/>
      <c r="L334" s="44"/>
      <c r="M334" s="44"/>
      <c r="N334" s="44"/>
      <c r="O334" s="44"/>
      <c r="P334" s="44"/>
    </row>
    <row r="335" spans="1:18" ht="13.5" customHeight="1" x14ac:dyDescent="0.2">
      <c r="C335" s="149"/>
      <c r="D335" s="150"/>
      <c r="E335" s="150"/>
      <c r="F335" s="150"/>
      <c r="G335" s="149"/>
      <c r="H335" s="47"/>
      <c r="J335" s="44"/>
      <c r="L335" s="44"/>
      <c r="M335" s="44"/>
      <c r="N335" s="44"/>
      <c r="O335" s="44"/>
      <c r="P335" s="44"/>
    </row>
    <row r="336" spans="1:18" ht="13.5" customHeight="1" x14ac:dyDescent="0.2">
      <c r="C336" s="149"/>
      <c r="D336" s="150"/>
      <c r="E336" s="150"/>
      <c r="F336" s="150"/>
      <c r="G336" s="149"/>
      <c r="H336" s="47"/>
      <c r="J336" s="44"/>
      <c r="L336" s="44"/>
      <c r="M336" s="44"/>
      <c r="N336" s="44"/>
      <c r="O336" s="44"/>
      <c r="P336" s="44"/>
    </row>
    <row r="337" spans="3:16" ht="13.5" customHeight="1" x14ac:dyDescent="0.2">
      <c r="C337" s="149"/>
      <c r="D337" s="150"/>
      <c r="E337" s="150"/>
      <c r="F337" s="150"/>
      <c r="G337" s="149"/>
      <c r="H337" s="47"/>
      <c r="J337" s="44"/>
      <c r="L337" s="44"/>
      <c r="M337" s="44"/>
      <c r="N337" s="44"/>
      <c r="O337" s="44"/>
      <c r="P337" s="44"/>
    </row>
    <row r="338" spans="3:16" ht="13.5" customHeight="1" x14ac:dyDescent="0.2">
      <c r="C338" s="149"/>
      <c r="D338" s="150"/>
      <c r="E338" s="150"/>
      <c r="F338" s="150"/>
      <c r="G338" s="149"/>
      <c r="H338" s="47"/>
      <c r="J338" s="44"/>
      <c r="L338" s="44"/>
      <c r="M338" s="44"/>
      <c r="N338" s="44"/>
      <c r="O338" s="44"/>
      <c r="P338" s="44"/>
    </row>
    <row r="339" spans="3:16" ht="13.5" customHeight="1" x14ac:dyDescent="0.2">
      <c r="C339" s="149"/>
      <c r="D339" s="150"/>
      <c r="E339" s="150"/>
      <c r="F339" s="150"/>
      <c r="G339" s="149"/>
      <c r="H339" s="47"/>
      <c r="J339" s="44"/>
      <c r="L339" s="44"/>
      <c r="M339" s="44"/>
      <c r="N339" s="44"/>
      <c r="O339" s="44"/>
      <c r="P339" s="44"/>
    </row>
    <row r="340" spans="3:16" ht="13.5" customHeight="1" x14ac:dyDescent="0.2">
      <c r="C340" s="149"/>
      <c r="D340" s="150"/>
      <c r="E340" s="150"/>
      <c r="F340" s="150"/>
      <c r="G340" s="149"/>
      <c r="H340" s="47"/>
      <c r="J340" s="44"/>
      <c r="L340" s="44"/>
      <c r="M340" s="44"/>
      <c r="N340" s="44"/>
      <c r="O340" s="44"/>
      <c r="P340" s="44"/>
    </row>
    <row r="341" spans="3:16" ht="13.5" customHeight="1" x14ac:dyDescent="0.2">
      <c r="C341" s="149"/>
      <c r="D341" s="150"/>
      <c r="E341" s="150"/>
      <c r="F341" s="150"/>
      <c r="G341" s="149"/>
      <c r="H341" s="47"/>
      <c r="I341" s="148" t="s">
        <v>56</v>
      </c>
      <c r="J341" s="148">
        <f>Startår</f>
        <v>2022</v>
      </c>
      <c r="K341" s="148">
        <f>J341+1</f>
        <v>2023</v>
      </c>
      <c r="L341" s="148">
        <f>K341+1</f>
        <v>2024</v>
      </c>
      <c r="M341" s="148">
        <f>L341+1</f>
        <v>2025</v>
      </c>
      <c r="N341" s="148">
        <f>M341+1</f>
        <v>2026</v>
      </c>
      <c r="O341" s="148">
        <f>N341+1</f>
        <v>2027</v>
      </c>
      <c r="P341" s="148" t="s">
        <v>10</v>
      </c>
    </row>
    <row r="342" spans="3:16" ht="13.5" customHeight="1" thickBot="1" x14ac:dyDescent="0.25">
      <c r="C342" s="149"/>
      <c r="D342" s="150"/>
      <c r="E342" s="150"/>
      <c r="F342" s="150"/>
      <c r="G342" s="149"/>
      <c r="H342" s="47"/>
      <c r="I342" s="148" t="s">
        <v>15</v>
      </c>
      <c r="J342" s="152"/>
      <c r="K342" s="152"/>
      <c r="L342" s="152"/>
      <c r="M342" s="152"/>
      <c r="N342" s="152"/>
      <c r="O342" s="152"/>
      <c r="P342" s="154">
        <f>SUM(J342:O342)</f>
        <v>0</v>
      </c>
    </row>
    <row r="343" spans="3:16" ht="13.5" customHeight="1" thickTop="1" thickBot="1" x14ac:dyDescent="0.25">
      <c r="C343" s="149"/>
      <c r="D343" s="150"/>
      <c r="E343" s="150"/>
      <c r="F343" s="150"/>
      <c r="G343" s="149"/>
      <c r="H343" s="47"/>
      <c r="I343" s="148" t="s">
        <v>55</v>
      </c>
      <c r="J343" s="152"/>
      <c r="K343" s="152"/>
      <c r="L343" s="152"/>
      <c r="M343" s="152"/>
      <c r="N343" s="152"/>
      <c r="O343" s="152"/>
      <c r="P343" s="155">
        <f>SUM(J343:O343)</f>
        <v>0</v>
      </c>
    </row>
    <row r="344" spans="3:16" ht="13.5" customHeight="1" thickTop="1" thickBot="1" x14ac:dyDescent="0.25">
      <c r="C344" s="158"/>
      <c r="D344" s="159"/>
      <c r="E344" s="159"/>
      <c r="F344" s="159"/>
      <c r="G344" s="158"/>
      <c r="H344" s="47"/>
      <c r="I344" s="148" t="s">
        <v>3</v>
      </c>
      <c r="J344" s="152"/>
      <c r="K344" s="152"/>
      <c r="L344" s="152"/>
      <c r="M344" s="152"/>
      <c r="N344" s="152"/>
      <c r="O344" s="152"/>
      <c r="P344" s="153">
        <f>SUM(J344:O344)</f>
        <v>0</v>
      </c>
    </row>
    <row r="345" spans="3:16" ht="13.5" customHeight="1" thickTop="1" x14ac:dyDescent="0.2">
      <c r="C345" s="156" t="s">
        <v>70</v>
      </c>
      <c r="D345" s="157"/>
      <c r="E345" s="157"/>
      <c r="F345" s="157"/>
      <c r="G345" s="48"/>
      <c r="H345" s="48"/>
      <c r="J345" s="44"/>
      <c r="L345" s="44"/>
      <c r="M345" s="44"/>
      <c r="N345" s="44"/>
      <c r="O345" s="44"/>
      <c r="P345" s="44"/>
    </row>
    <row r="346" spans="3:16" ht="13.5" customHeight="1" x14ac:dyDescent="0.2">
      <c r="J346" s="44"/>
      <c r="L346" s="44"/>
      <c r="M346" s="44"/>
      <c r="N346" s="44"/>
      <c r="O346" s="44"/>
      <c r="P346" s="44"/>
    </row>
  </sheetData>
  <conditionalFormatting sqref="D7">
    <cfRule type="containsText" dxfId="225" priority="92" operator="containsText" text="3">
      <formula>NOT(ISERROR(SEARCH("3",D7)))</formula>
    </cfRule>
  </conditionalFormatting>
  <conditionalFormatting sqref="D29">
    <cfRule type="containsText" dxfId="224" priority="47" operator="containsText" text="3">
      <formula>NOT(ISERROR(SEARCH("3",D29)))</formula>
    </cfRule>
  </conditionalFormatting>
  <conditionalFormatting sqref="D53">
    <cfRule type="containsText" dxfId="223" priority="44" operator="containsText" text="3">
      <formula>NOT(ISERROR(SEARCH("3",D53)))</formula>
    </cfRule>
  </conditionalFormatting>
  <conditionalFormatting sqref="D122">
    <cfRule type="containsText" dxfId="222" priority="35" operator="containsText" text="3">
      <formula>NOT(ISERROR(SEARCH("3",D122)))</formula>
    </cfRule>
  </conditionalFormatting>
  <conditionalFormatting sqref="D145">
    <cfRule type="containsText" dxfId="221" priority="32" operator="containsText" text="3">
      <formula>NOT(ISERROR(SEARCH("3",D145)))</formula>
    </cfRule>
  </conditionalFormatting>
  <conditionalFormatting sqref="D168">
    <cfRule type="containsText" dxfId="220" priority="29" operator="containsText" text="3">
      <formula>NOT(ISERROR(SEARCH("3",D168)))</formula>
    </cfRule>
  </conditionalFormatting>
  <conditionalFormatting sqref="D191">
    <cfRule type="containsText" dxfId="219" priority="26" operator="containsText" text="3">
      <formula>NOT(ISERROR(SEARCH("3",D191)))</formula>
    </cfRule>
  </conditionalFormatting>
  <conditionalFormatting sqref="D214">
    <cfRule type="containsText" dxfId="218" priority="23" operator="containsText" text="3">
      <formula>NOT(ISERROR(SEARCH("3",D214)))</formula>
    </cfRule>
  </conditionalFormatting>
  <conditionalFormatting sqref="D237">
    <cfRule type="containsText" dxfId="217" priority="20" operator="containsText" text="3">
      <formula>NOT(ISERROR(SEARCH("3",D237)))</formula>
    </cfRule>
  </conditionalFormatting>
  <conditionalFormatting sqref="D260">
    <cfRule type="containsText" dxfId="216" priority="17" operator="containsText" text="3">
      <formula>NOT(ISERROR(SEARCH("3",D260)))</formula>
    </cfRule>
  </conditionalFormatting>
  <conditionalFormatting sqref="D283">
    <cfRule type="containsText" dxfId="215" priority="14" operator="containsText" text="3">
      <formula>NOT(ISERROR(SEARCH("3",D283)))</formula>
    </cfRule>
  </conditionalFormatting>
  <conditionalFormatting sqref="D306">
    <cfRule type="containsText" dxfId="214" priority="11" operator="containsText" text="3">
      <formula>NOT(ISERROR(SEARCH("3",D306)))</formula>
    </cfRule>
  </conditionalFormatting>
  <conditionalFormatting sqref="D329">
    <cfRule type="containsText" dxfId="213" priority="8" operator="containsText" text="3">
      <formula>NOT(ISERROR(SEARCH("3",D329)))</formula>
    </cfRule>
  </conditionalFormatting>
  <conditionalFormatting sqref="D76">
    <cfRule type="containsText" dxfId="212" priority="5" operator="containsText" text="3">
      <formula>NOT(ISERROR(SEARCH("3",D76)))</formula>
    </cfRule>
  </conditionalFormatting>
  <conditionalFormatting sqref="D99">
    <cfRule type="containsText" dxfId="211" priority="2" operator="containsText" text="3">
      <formula>NOT(ISERROR(SEARCH("3",D99)))</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3C83DC33-89BA-427D-B6F0-65DA0BD5DA93}">
            <xm:f>NOT(ISERROR(SEARCH(2,D7)))</xm:f>
            <xm:f>2</xm:f>
            <x14:dxf>
              <font>
                <color auto="1"/>
              </font>
              <fill>
                <patternFill>
                  <bgColor theme="8"/>
                </patternFill>
              </fill>
            </x14:dxf>
          </x14:cfRule>
          <x14:cfRule type="containsText" priority="93" operator="containsText" id="{E5D6C228-5D28-4C87-A0E4-3667BF078FB0}">
            <xm:f>NOT(ISERROR(SEARCH(1,D7)))</xm:f>
            <xm:f>1</xm:f>
            <x14:dxf>
              <font>
                <color auto="1"/>
              </font>
              <fill>
                <patternFill>
                  <bgColor theme="8" tint="-0.24994659260841701"/>
                </patternFill>
              </fill>
            </x14:dxf>
          </x14:cfRule>
          <xm:sqref>D7</xm:sqref>
        </x14:conditionalFormatting>
        <x14:conditionalFormatting xmlns:xm="http://schemas.microsoft.com/office/excel/2006/main">
          <x14:cfRule type="containsText" priority="46" operator="containsText" id="{C3A3CD9F-F539-4CED-BED1-674D475C73F2}">
            <xm:f>NOT(ISERROR(SEARCH(2,D29)))</xm:f>
            <xm:f>2</xm:f>
            <x14:dxf>
              <font>
                <color auto="1"/>
              </font>
              <fill>
                <patternFill>
                  <bgColor theme="8"/>
                </patternFill>
              </fill>
            </x14:dxf>
          </x14:cfRule>
          <x14:cfRule type="containsText" priority="48" operator="containsText" id="{BDCC63F2-1410-48CA-95D0-A9925749FE5B}">
            <xm:f>NOT(ISERROR(SEARCH(1,D29)))</xm:f>
            <xm:f>1</xm:f>
            <x14:dxf>
              <font>
                <color auto="1"/>
              </font>
              <fill>
                <patternFill>
                  <bgColor theme="8" tint="-0.24994659260841701"/>
                </patternFill>
              </fill>
            </x14:dxf>
          </x14:cfRule>
          <xm:sqref>D29</xm:sqref>
        </x14:conditionalFormatting>
        <x14:conditionalFormatting xmlns:xm="http://schemas.microsoft.com/office/excel/2006/main">
          <x14:cfRule type="containsText" priority="43" operator="containsText" id="{F737D216-C9D1-410E-9BB7-68946F2BFCFC}">
            <xm:f>NOT(ISERROR(SEARCH(2,D53)))</xm:f>
            <xm:f>2</xm:f>
            <x14:dxf>
              <font>
                <color auto="1"/>
              </font>
              <fill>
                <patternFill>
                  <bgColor theme="8"/>
                </patternFill>
              </fill>
            </x14:dxf>
          </x14:cfRule>
          <x14:cfRule type="containsText" priority="45" operator="containsText" id="{52C43603-24BE-435A-A560-EEC06DE5BDC9}">
            <xm:f>NOT(ISERROR(SEARCH(1,D53)))</xm:f>
            <xm:f>1</xm:f>
            <x14:dxf>
              <font>
                <color auto="1"/>
              </font>
              <fill>
                <patternFill>
                  <bgColor theme="8" tint="-0.24994659260841701"/>
                </patternFill>
              </fill>
            </x14:dxf>
          </x14:cfRule>
          <xm:sqref>D53</xm:sqref>
        </x14:conditionalFormatting>
        <x14:conditionalFormatting xmlns:xm="http://schemas.microsoft.com/office/excel/2006/main">
          <x14:cfRule type="containsText" priority="34" operator="containsText" id="{7B342006-519F-4F83-AC1C-F1789448A330}">
            <xm:f>NOT(ISERROR(SEARCH(2,D122)))</xm:f>
            <xm:f>2</xm:f>
            <x14:dxf>
              <font>
                <color auto="1"/>
              </font>
              <fill>
                <patternFill>
                  <bgColor theme="8"/>
                </patternFill>
              </fill>
            </x14:dxf>
          </x14:cfRule>
          <x14:cfRule type="containsText" priority="36" operator="containsText" id="{CEC7906A-4AD6-4461-AFB3-B4FBBC53E7A1}">
            <xm:f>NOT(ISERROR(SEARCH(1,D122)))</xm:f>
            <xm:f>1</xm:f>
            <x14:dxf>
              <font>
                <color auto="1"/>
              </font>
              <fill>
                <patternFill>
                  <bgColor theme="8" tint="-0.24994659260841701"/>
                </patternFill>
              </fill>
            </x14:dxf>
          </x14:cfRule>
          <xm:sqref>D122</xm:sqref>
        </x14:conditionalFormatting>
        <x14:conditionalFormatting xmlns:xm="http://schemas.microsoft.com/office/excel/2006/main">
          <x14:cfRule type="containsText" priority="31" operator="containsText" id="{CB7886CD-6826-4E6A-B96A-871951394843}">
            <xm:f>NOT(ISERROR(SEARCH(2,D145)))</xm:f>
            <xm:f>2</xm:f>
            <x14:dxf>
              <font>
                <color auto="1"/>
              </font>
              <fill>
                <patternFill>
                  <bgColor theme="8"/>
                </patternFill>
              </fill>
            </x14:dxf>
          </x14:cfRule>
          <x14:cfRule type="containsText" priority="33" operator="containsText" id="{7D34D832-239C-48E0-B350-FBF7608E3BA3}">
            <xm:f>NOT(ISERROR(SEARCH(1,D145)))</xm:f>
            <xm:f>1</xm:f>
            <x14:dxf>
              <font>
                <color auto="1"/>
              </font>
              <fill>
                <patternFill>
                  <bgColor theme="8" tint="-0.24994659260841701"/>
                </patternFill>
              </fill>
            </x14:dxf>
          </x14:cfRule>
          <xm:sqref>D145</xm:sqref>
        </x14:conditionalFormatting>
        <x14:conditionalFormatting xmlns:xm="http://schemas.microsoft.com/office/excel/2006/main">
          <x14:cfRule type="containsText" priority="28" operator="containsText" id="{DE5DF716-8BC4-4CA6-AACD-854FB3244FB3}">
            <xm:f>NOT(ISERROR(SEARCH(2,D168)))</xm:f>
            <xm:f>2</xm:f>
            <x14:dxf>
              <font>
                <color auto="1"/>
              </font>
              <fill>
                <patternFill>
                  <bgColor theme="8"/>
                </patternFill>
              </fill>
            </x14:dxf>
          </x14:cfRule>
          <x14:cfRule type="containsText" priority="30" operator="containsText" id="{5218137E-AA42-47A2-8658-B28746AB2767}">
            <xm:f>NOT(ISERROR(SEARCH(1,D168)))</xm:f>
            <xm:f>1</xm:f>
            <x14:dxf>
              <font>
                <color auto="1"/>
              </font>
              <fill>
                <patternFill>
                  <bgColor theme="8" tint="-0.24994659260841701"/>
                </patternFill>
              </fill>
            </x14:dxf>
          </x14:cfRule>
          <xm:sqref>D168</xm:sqref>
        </x14:conditionalFormatting>
        <x14:conditionalFormatting xmlns:xm="http://schemas.microsoft.com/office/excel/2006/main">
          <x14:cfRule type="containsText" priority="25" operator="containsText" id="{BB7F87D3-022B-4D38-9261-7A51B58279F7}">
            <xm:f>NOT(ISERROR(SEARCH(2,D191)))</xm:f>
            <xm:f>2</xm:f>
            <x14:dxf>
              <font>
                <color auto="1"/>
              </font>
              <fill>
                <patternFill>
                  <bgColor theme="8"/>
                </patternFill>
              </fill>
            </x14:dxf>
          </x14:cfRule>
          <x14:cfRule type="containsText" priority="27" operator="containsText" id="{C3BDEEDC-6E3E-4A03-9BAF-74A45B3FA25E}">
            <xm:f>NOT(ISERROR(SEARCH(1,D191)))</xm:f>
            <xm:f>1</xm:f>
            <x14:dxf>
              <font>
                <color auto="1"/>
              </font>
              <fill>
                <patternFill>
                  <bgColor theme="8" tint="-0.24994659260841701"/>
                </patternFill>
              </fill>
            </x14:dxf>
          </x14:cfRule>
          <xm:sqref>D191</xm:sqref>
        </x14:conditionalFormatting>
        <x14:conditionalFormatting xmlns:xm="http://schemas.microsoft.com/office/excel/2006/main">
          <x14:cfRule type="containsText" priority="22" operator="containsText" id="{F9CA4A1E-4F83-4F28-ABE4-38AC5C0F1451}">
            <xm:f>NOT(ISERROR(SEARCH(2,D214)))</xm:f>
            <xm:f>2</xm:f>
            <x14:dxf>
              <font>
                <color auto="1"/>
              </font>
              <fill>
                <patternFill>
                  <bgColor theme="8"/>
                </patternFill>
              </fill>
            </x14:dxf>
          </x14:cfRule>
          <x14:cfRule type="containsText" priority="24" operator="containsText" id="{D33EF733-0854-418C-999E-33C5734FB210}">
            <xm:f>NOT(ISERROR(SEARCH(1,D214)))</xm:f>
            <xm:f>1</xm:f>
            <x14:dxf>
              <font>
                <color auto="1"/>
              </font>
              <fill>
                <patternFill>
                  <bgColor theme="8" tint="-0.24994659260841701"/>
                </patternFill>
              </fill>
            </x14:dxf>
          </x14:cfRule>
          <xm:sqref>D214</xm:sqref>
        </x14:conditionalFormatting>
        <x14:conditionalFormatting xmlns:xm="http://schemas.microsoft.com/office/excel/2006/main">
          <x14:cfRule type="containsText" priority="19" operator="containsText" id="{88D354A9-BF22-4DE7-91DF-FF10BDB69E3A}">
            <xm:f>NOT(ISERROR(SEARCH(2,D237)))</xm:f>
            <xm:f>2</xm:f>
            <x14:dxf>
              <font>
                <color auto="1"/>
              </font>
              <fill>
                <patternFill>
                  <bgColor theme="8"/>
                </patternFill>
              </fill>
            </x14:dxf>
          </x14:cfRule>
          <x14:cfRule type="containsText" priority="21" operator="containsText" id="{71484E95-DCFB-403F-A593-FA5917CC8BF4}">
            <xm:f>NOT(ISERROR(SEARCH(1,D237)))</xm:f>
            <xm:f>1</xm:f>
            <x14:dxf>
              <font>
                <color auto="1"/>
              </font>
              <fill>
                <patternFill>
                  <bgColor theme="8" tint="-0.24994659260841701"/>
                </patternFill>
              </fill>
            </x14:dxf>
          </x14:cfRule>
          <xm:sqref>D237</xm:sqref>
        </x14:conditionalFormatting>
        <x14:conditionalFormatting xmlns:xm="http://schemas.microsoft.com/office/excel/2006/main">
          <x14:cfRule type="containsText" priority="16" operator="containsText" id="{5BD221FE-7170-4F28-956E-71F5043E4DAC}">
            <xm:f>NOT(ISERROR(SEARCH(2,D260)))</xm:f>
            <xm:f>2</xm:f>
            <x14:dxf>
              <font>
                <color auto="1"/>
              </font>
              <fill>
                <patternFill>
                  <bgColor theme="8"/>
                </patternFill>
              </fill>
            </x14:dxf>
          </x14:cfRule>
          <x14:cfRule type="containsText" priority="18" operator="containsText" id="{774BA97B-161D-4680-93B7-833319D69625}">
            <xm:f>NOT(ISERROR(SEARCH(1,D260)))</xm:f>
            <xm:f>1</xm:f>
            <x14:dxf>
              <font>
                <color auto="1"/>
              </font>
              <fill>
                <patternFill>
                  <bgColor theme="8" tint="-0.24994659260841701"/>
                </patternFill>
              </fill>
            </x14:dxf>
          </x14:cfRule>
          <xm:sqref>D260</xm:sqref>
        </x14:conditionalFormatting>
        <x14:conditionalFormatting xmlns:xm="http://schemas.microsoft.com/office/excel/2006/main">
          <x14:cfRule type="containsText" priority="13" operator="containsText" id="{D6A5F59B-B7CF-4EBF-A7CE-30D0A011AB66}">
            <xm:f>NOT(ISERROR(SEARCH(2,D283)))</xm:f>
            <xm:f>2</xm:f>
            <x14:dxf>
              <font>
                <color auto="1"/>
              </font>
              <fill>
                <patternFill>
                  <bgColor theme="8"/>
                </patternFill>
              </fill>
            </x14:dxf>
          </x14:cfRule>
          <x14:cfRule type="containsText" priority="15" operator="containsText" id="{C7F82CA0-A08A-4A71-BC6C-0B4192B4170B}">
            <xm:f>NOT(ISERROR(SEARCH(1,D283)))</xm:f>
            <xm:f>1</xm:f>
            <x14:dxf>
              <font>
                <color auto="1"/>
              </font>
              <fill>
                <patternFill>
                  <bgColor theme="8" tint="-0.24994659260841701"/>
                </patternFill>
              </fill>
            </x14:dxf>
          </x14:cfRule>
          <xm:sqref>D283</xm:sqref>
        </x14:conditionalFormatting>
        <x14:conditionalFormatting xmlns:xm="http://schemas.microsoft.com/office/excel/2006/main">
          <x14:cfRule type="containsText" priority="10" operator="containsText" id="{EA1DB876-9B7B-4BB6-8034-A1DE543C09C0}">
            <xm:f>NOT(ISERROR(SEARCH(2,D306)))</xm:f>
            <xm:f>2</xm:f>
            <x14:dxf>
              <font>
                <color auto="1"/>
              </font>
              <fill>
                <patternFill>
                  <bgColor theme="8"/>
                </patternFill>
              </fill>
            </x14:dxf>
          </x14:cfRule>
          <x14:cfRule type="containsText" priority="12" operator="containsText" id="{0693DA0A-C645-4D1A-8BC8-58E321F4C4D9}">
            <xm:f>NOT(ISERROR(SEARCH(1,D306)))</xm:f>
            <xm:f>1</xm:f>
            <x14:dxf>
              <font>
                <color auto="1"/>
              </font>
              <fill>
                <patternFill>
                  <bgColor theme="8" tint="-0.24994659260841701"/>
                </patternFill>
              </fill>
            </x14:dxf>
          </x14:cfRule>
          <xm:sqref>D306</xm:sqref>
        </x14:conditionalFormatting>
        <x14:conditionalFormatting xmlns:xm="http://schemas.microsoft.com/office/excel/2006/main">
          <x14:cfRule type="containsText" priority="7" operator="containsText" id="{4A20CC23-BF1F-455F-AF2F-CFB2267630F3}">
            <xm:f>NOT(ISERROR(SEARCH(2,D329)))</xm:f>
            <xm:f>2</xm:f>
            <x14:dxf>
              <font>
                <color auto="1"/>
              </font>
              <fill>
                <patternFill>
                  <bgColor theme="8"/>
                </patternFill>
              </fill>
            </x14:dxf>
          </x14:cfRule>
          <x14:cfRule type="containsText" priority="9" operator="containsText" id="{D6726C66-FDD0-4A07-94F4-19F9B8943D88}">
            <xm:f>NOT(ISERROR(SEARCH(1,D329)))</xm:f>
            <xm:f>1</xm:f>
            <x14:dxf>
              <font>
                <color auto="1"/>
              </font>
              <fill>
                <patternFill>
                  <bgColor theme="8" tint="-0.24994659260841701"/>
                </patternFill>
              </fill>
            </x14:dxf>
          </x14:cfRule>
          <xm:sqref>D329</xm:sqref>
        </x14:conditionalFormatting>
        <x14:conditionalFormatting xmlns:xm="http://schemas.microsoft.com/office/excel/2006/main">
          <x14:cfRule type="containsText" priority="4" operator="containsText" id="{E97CB205-EE04-4A88-BE18-B81C71BC5736}">
            <xm:f>NOT(ISERROR(SEARCH(2,D76)))</xm:f>
            <xm:f>2</xm:f>
            <x14:dxf>
              <font>
                <color auto="1"/>
              </font>
              <fill>
                <patternFill>
                  <bgColor theme="8"/>
                </patternFill>
              </fill>
            </x14:dxf>
          </x14:cfRule>
          <x14:cfRule type="containsText" priority="6" operator="containsText" id="{3CDCB88A-2E0D-4800-B509-B0DCA2B9D4B9}">
            <xm:f>NOT(ISERROR(SEARCH(1,D76)))</xm:f>
            <xm:f>1</xm:f>
            <x14:dxf>
              <font>
                <color auto="1"/>
              </font>
              <fill>
                <patternFill>
                  <bgColor theme="8" tint="-0.24994659260841701"/>
                </patternFill>
              </fill>
            </x14:dxf>
          </x14:cfRule>
          <xm:sqref>D76</xm:sqref>
        </x14:conditionalFormatting>
        <x14:conditionalFormatting xmlns:xm="http://schemas.microsoft.com/office/excel/2006/main">
          <x14:cfRule type="containsText" priority="1" operator="containsText" id="{31D6A9E0-AB81-457B-8EF7-D4E75B1B69CB}">
            <xm:f>NOT(ISERROR(SEARCH(2,D99)))</xm:f>
            <xm:f>2</xm:f>
            <x14:dxf>
              <font>
                <color auto="1"/>
              </font>
              <fill>
                <patternFill>
                  <bgColor theme="8"/>
                </patternFill>
              </fill>
            </x14:dxf>
          </x14:cfRule>
          <x14:cfRule type="containsText" priority="3" operator="containsText" id="{3006EF83-7E24-40FD-AC2B-B18AEE6CD935}">
            <xm:f>NOT(ISERROR(SEARCH(1,D99)))</xm:f>
            <xm:f>1</xm:f>
            <x14:dxf>
              <font>
                <color auto="1"/>
              </font>
              <fill>
                <patternFill>
                  <bgColor theme="8" tint="-0.24994659260841701"/>
                </patternFill>
              </fill>
            </x14:dxf>
          </x14:cfRule>
          <xm:sqref>D99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8B8AD18-0726-46C1-B2E1-3F5231D9537D}">
          <x14:formula1>
            <xm:f>OFFSET(Försättsblad!$B$11,1,0,COUNTIF(Försättsblad!$B$12:$B$25,"&lt;&gt;"))</xm:f>
          </x14:formula1>
          <xm:sqref>D98 D305 D28 D52 D328 D75 D121 D144 D167 D190 D213 D236 D259 D282 D6</xm:sqref>
        </x14:dataValidation>
        <x14:dataValidation type="list" errorStyle="information" allowBlank="1" showInputMessage="1" showErrorMessage="1" errorTitle="Välj " error="Välj en nyttokategori_x000a_ i rullisten. " xr:uid="{31240C62-B1AE-4D9E-80E8-E1074B92F269}">
          <x14:formula1>
            <xm:f>Admin!$I$8:$I$11</xm:f>
          </x14:formula1>
          <xm:sqref>D7 D329 D306 D283 D260 D237 D214 D191 D168 D145 D122 D76 D29 D53 D99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5B7C-4A46-45E6-B2B0-29FF82654BC8}">
  <sheetPr codeName="Blad8">
    <tabColor theme="5"/>
  </sheetPr>
  <dimension ref="A1:AD65"/>
  <sheetViews>
    <sheetView showGridLines="0" zoomScaleNormal="100" workbookViewId="0">
      <pane ySplit="2" topLeftCell="A3" activePane="bottomLeft" state="frozen"/>
      <selection pane="bottomLeft" activeCell="E36" sqref="E36"/>
    </sheetView>
  </sheetViews>
  <sheetFormatPr defaultRowHeight="12.75" x14ac:dyDescent="0.2"/>
  <cols>
    <col min="1" max="1" width="3.42578125" style="11" customWidth="1"/>
    <col min="2" max="2" width="6.28515625" style="11" customWidth="1"/>
    <col min="3" max="3" width="54.28515625" style="11" customWidth="1"/>
    <col min="4" max="4" width="22.5703125" style="11" bestFit="1" customWidth="1"/>
    <col min="5" max="5" width="30" style="11" bestFit="1" customWidth="1"/>
    <col min="6" max="6" width="13.7109375" style="11" bestFit="1" customWidth="1"/>
    <col min="7" max="7" width="14.5703125" style="11" bestFit="1" customWidth="1"/>
    <col min="8" max="11" width="13.7109375" style="11" bestFit="1" customWidth="1"/>
    <col min="12" max="13" width="16.5703125" style="11" customWidth="1"/>
    <col min="14" max="18" width="16.5703125" style="11" hidden="1" customWidth="1"/>
    <col min="19" max="19" width="15.28515625" style="11" hidden="1" customWidth="1"/>
    <col min="20" max="20" width="15.28515625" style="11" customWidth="1"/>
    <col min="21" max="25" width="15.28515625" style="11" hidden="1" customWidth="1"/>
    <col min="26" max="26" width="15.85546875" style="11" hidden="1" customWidth="1"/>
    <col min="27" max="27" width="14.7109375" style="11" bestFit="1" customWidth="1"/>
    <col min="28" max="29" width="12.28515625" style="11" customWidth="1"/>
    <col min="30" max="30" width="7.42578125" style="11" bestFit="1" customWidth="1"/>
    <col min="31" max="16384" width="9.140625" style="11"/>
  </cols>
  <sheetData>
    <row r="1" spans="1:30" s="76" customFormat="1" ht="15.75" x14ac:dyDescent="0.2">
      <c r="A1" s="113"/>
      <c r="B1" s="307" t="s">
        <v>68</v>
      </c>
      <c r="C1" s="307"/>
      <c r="D1" s="119" t="s">
        <v>61</v>
      </c>
      <c r="E1" s="114"/>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30" x14ac:dyDescent="0.2">
      <c r="A2" s="115"/>
      <c r="B2" s="116" t="str">
        <f>IF(Försättsblad!C6=0,"",Försättsblad!C6)</f>
        <v>Möjlighet till elektoronisk identifiering av de som ringer 1177</v>
      </c>
      <c r="C2" s="116"/>
      <c r="D2" s="115"/>
      <c r="E2" s="117"/>
      <c r="F2" s="118"/>
      <c r="G2" s="118"/>
      <c r="H2" s="118"/>
      <c r="I2" s="118"/>
      <c r="J2" s="118"/>
      <c r="K2" s="118"/>
      <c r="L2" s="118"/>
      <c r="M2" s="118"/>
      <c r="N2" s="118"/>
      <c r="O2" s="118"/>
      <c r="P2" s="118"/>
      <c r="Q2" s="118"/>
      <c r="R2" s="118"/>
      <c r="S2" s="118"/>
      <c r="T2" s="118"/>
      <c r="U2" s="118"/>
      <c r="V2" s="118"/>
      <c r="W2" s="118"/>
      <c r="X2" s="118"/>
      <c r="Y2" s="118"/>
      <c r="Z2" s="118"/>
      <c r="AA2" s="118"/>
      <c r="AB2" s="118"/>
      <c r="AC2" s="118"/>
    </row>
    <row r="3" spans="1:30" ht="21.75" customHeight="1" x14ac:dyDescent="0.2">
      <c r="AB3" s="13"/>
    </row>
    <row r="4" spans="1:30" s="17" customFormat="1" x14ac:dyDescent="0.2">
      <c r="AB4" s="13"/>
    </row>
    <row r="5" spans="1:30" x14ac:dyDescent="0.2">
      <c r="E5" s="142"/>
      <c r="F5" s="147" t="s">
        <v>52</v>
      </c>
      <c r="G5" s="147"/>
      <c r="H5" s="147"/>
      <c r="I5" s="147"/>
      <c r="J5" s="147"/>
      <c r="K5" s="145"/>
      <c r="AB5" s="13"/>
    </row>
    <row r="6" spans="1:30" x14ac:dyDescent="0.2">
      <c r="F6" s="144">
        <f>(1+Diskonteringsränta)^0</f>
        <v>1</v>
      </c>
      <c r="G6" s="144">
        <f>(1+Diskonteringsränta)^1</f>
        <v>1.03</v>
      </c>
      <c r="H6" s="145">
        <f>(1+Diskonteringsränta)^2</f>
        <v>1.0609</v>
      </c>
      <c r="I6" s="146">
        <f>(1+Diskonteringsränta)^3</f>
        <v>1.092727</v>
      </c>
      <c r="J6" s="144">
        <f>(1+Diskonteringsränta)^4</f>
        <v>1.1255088099999999</v>
      </c>
      <c r="K6" s="145">
        <f>(1+Diskonteringsränta)^5</f>
        <v>1.1592740742999998</v>
      </c>
      <c r="L6" s="143"/>
      <c r="M6" s="142"/>
      <c r="N6" s="142"/>
      <c r="O6" s="142"/>
      <c r="P6" s="142"/>
      <c r="Q6" s="142"/>
      <c r="R6" s="142"/>
      <c r="AB6" s="13"/>
    </row>
    <row r="7" spans="1:30" x14ac:dyDescent="0.2">
      <c r="B7" s="12"/>
      <c r="C7" s="12"/>
      <c r="D7" s="12"/>
      <c r="F7" s="13"/>
      <c r="G7" s="13"/>
      <c r="H7" s="13"/>
      <c r="I7" s="13"/>
      <c r="J7" s="13"/>
      <c r="K7" s="13"/>
      <c r="L7" s="13"/>
      <c r="M7" s="13"/>
      <c r="N7" s="13"/>
      <c r="O7" s="13"/>
      <c r="P7" s="13"/>
      <c r="Q7" s="13"/>
      <c r="R7" s="13"/>
      <c r="S7" s="13"/>
      <c r="T7" s="13"/>
      <c r="U7" s="13"/>
      <c r="V7" s="13"/>
      <c r="W7" s="13"/>
      <c r="X7" s="13"/>
      <c r="Y7" s="13"/>
      <c r="Z7" s="13"/>
      <c r="AA7" s="13"/>
      <c r="AB7" s="13"/>
    </row>
    <row r="8" spans="1:30" x14ac:dyDescent="0.2">
      <c r="B8" s="12"/>
      <c r="C8" s="12"/>
      <c r="D8" s="12"/>
      <c r="E8" s="12"/>
      <c r="F8" s="78">
        <f>Startår</f>
        <v>2022</v>
      </c>
      <c r="G8" s="78">
        <f>F8+1</f>
        <v>2023</v>
      </c>
      <c r="H8" s="78">
        <f>G8+1</f>
        <v>2024</v>
      </c>
      <c r="I8" s="78">
        <f>H8+1</f>
        <v>2025</v>
      </c>
      <c r="J8" s="78">
        <f>I8+1</f>
        <v>2026</v>
      </c>
      <c r="K8" s="78">
        <f>J8+1</f>
        <v>2027</v>
      </c>
      <c r="L8" s="13"/>
      <c r="N8" s="78">
        <f>Startår</f>
        <v>2022</v>
      </c>
      <c r="O8" s="78">
        <f>N8+1</f>
        <v>2023</v>
      </c>
      <c r="P8" s="78">
        <f>O8+1</f>
        <v>2024</v>
      </c>
      <c r="Q8" s="78">
        <f>P8+1</f>
        <v>2025</v>
      </c>
      <c r="R8" s="78">
        <f>Q8+1</f>
        <v>2026</v>
      </c>
      <c r="S8" s="78">
        <f>R8+1</f>
        <v>2027</v>
      </c>
      <c r="U8" s="78">
        <f>Startår</f>
        <v>2022</v>
      </c>
      <c r="V8" s="78">
        <f>U8+1</f>
        <v>2023</v>
      </c>
      <c r="W8" s="78">
        <f>V8+1</f>
        <v>2024</v>
      </c>
      <c r="X8" s="78">
        <f>W8+1</f>
        <v>2025</v>
      </c>
      <c r="Y8" s="78">
        <f>X8+1</f>
        <v>2026</v>
      </c>
      <c r="Z8" s="78">
        <f>Y8+1</f>
        <v>2027</v>
      </c>
      <c r="AA8" s="13"/>
      <c r="AB8" s="13"/>
      <c r="AD8" s="17"/>
    </row>
    <row r="9" spans="1:30" x14ac:dyDescent="0.2">
      <c r="B9" s="128" t="s">
        <v>59</v>
      </c>
      <c r="C9" s="129" t="s">
        <v>23</v>
      </c>
      <c r="D9" s="129" t="s">
        <v>16</v>
      </c>
      <c r="E9" s="129" t="s">
        <v>22</v>
      </c>
      <c r="F9" s="130" t="s">
        <v>98</v>
      </c>
      <c r="G9" s="130" t="s">
        <v>99</v>
      </c>
      <c r="H9" s="130" t="s">
        <v>100</v>
      </c>
      <c r="I9" s="130" t="s">
        <v>101</v>
      </c>
      <c r="J9" s="130" t="s">
        <v>102</v>
      </c>
      <c r="K9" s="130" t="s">
        <v>103</v>
      </c>
      <c r="L9" s="129" t="s">
        <v>45</v>
      </c>
      <c r="M9" s="129" t="s">
        <v>4</v>
      </c>
      <c r="N9" s="130" t="s">
        <v>83</v>
      </c>
      <c r="O9" s="130" t="s">
        <v>84</v>
      </c>
      <c r="P9" s="130" t="s">
        <v>85</v>
      </c>
      <c r="Q9" s="130" t="s">
        <v>86</v>
      </c>
      <c r="R9" s="130" t="s">
        <v>87</v>
      </c>
      <c r="S9" s="130" t="s">
        <v>88</v>
      </c>
      <c r="T9" s="129" t="s">
        <v>43</v>
      </c>
      <c r="U9" s="130" t="s">
        <v>89</v>
      </c>
      <c r="V9" s="130" t="s">
        <v>90</v>
      </c>
      <c r="W9" s="130" t="s">
        <v>91</v>
      </c>
      <c r="X9" s="130" t="s">
        <v>92</v>
      </c>
      <c r="Y9" s="130" t="s">
        <v>93</v>
      </c>
      <c r="Z9" s="130" t="s">
        <v>94</v>
      </c>
      <c r="AA9" s="129" t="s">
        <v>44</v>
      </c>
      <c r="AB9" s="13"/>
      <c r="AD9" s="56"/>
    </row>
    <row r="10" spans="1:30" x14ac:dyDescent="0.2">
      <c r="B10" s="131">
        <v>1</v>
      </c>
      <c r="C10" s="160" t="str">
        <f>'Räkna på kostnader'!D5</f>
        <v>Utveckling</v>
      </c>
      <c r="D10" s="161" t="str">
        <f>'Räkna på kostnader'!D6</f>
        <v>Regioner</v>
      </c>
      <c r="E10" s="161" t="str">
        <f>'Räkna på kostnader'!D7</f>
        <v>Investeringar</v>
      </c>
      <c r="F10" s="170">
        <f>'Räkna på kostnader'!J20/F$6</f>
        <v>1400000</v>
      </c>
      <c r="G10" s="170">
        <f>'Räkna på kostnader'!K20/G$6</f>
        <v>0</v>
      </c>
      <c r="H10" s="170">
        <f>'Räkna på kostnader'!L20/H$6</f>
        <v>0</v>
      </c>
      <c r="I10" s="170">
        <f>'Räkna på kostnader'!M20/$I$6</f>
        <v>0</v>
      </c>
      <c r="J10" s="170">
        <f>'Räkna på kostnader'!N20/$J$6</f>
        <v>0</v>
      </c>
      <c r="K10" s="170">
        <f>'Räkna på kostnader'!O20/$K$6</f>
        <v>0</v>
      </c>
      <c r="L10" s="126">
        <f>SUM(F10:K10)</f>
        <v>1400000</v>
      </c>
      <c r="M10" s="127">
        <f t="shared" ref="M10:M24" si="0">IF(OR(ISBLANK(L10),L10=0),"",(AA10-T10)/5/L10)</f>
        <v>0</v>
      </c>
      <c r="N10" s="125">
        <f>'Räkna på kostnader'!$J$21/F6</f>
        <v>1400000</v>
      </c>
      <c r="O10" s="125">
        <f>'Räkna på kostnader'!$K$21/G6</f>
        <v>0</v>
      </c>
      <c r="P10" s="125">
        <f>'Räkna på kostnader'!$L$21/H6</f>
        <v>0</v>
      </c>
      <c r="Q10" s="125">
        <f>'Räkna på kostnader'!$M$21/I6</f>
        <v>0</v>
      </c>
      <c r="R10" s="125">
        <f>'Räkna på kostnader'!$N$21/J6</f>
        <v>0</v>
      </c>
      <c r="S10" s="125">
        <f>'Räkna på kostnader'!$O$21/K6</f>
        <v>0</v>
      </c>
      <c r="T10" s="126">
        <f>SUM(Kostnader[[#This Row],[Min år 1]:[Min år 6]])</f>
        <v>1400000</v>
      </c>
      <c r="U10" s="125">
        <f>'Räkna på kostnader'!$J$22/F6</f>
        <v>1400000</v>
      </c>
      <c r="V10" s="125">
        <f>'Räkna på kostnader'!$K$22/G6</f>
        <v>0</v>
      </c>
      <c r="W10" s="125">
        <f>'Räkna på kostnader'!$L$22/H6</f>
        <v>0</v>
      </c>
      <c r="X10" s="125">
        <f>'Räkna på kostnader'!$M$22/I6</f>
        <v>0</v>
      </c>
      <c r="Y10" s="125">
        <f>'Räkna på kostnader'!$N$22/J6</f>
        <v>0</v>
      </c>
      <c r="Z10" s="125">
        <f>'Räkna på kostnader'!$O$22/K6</f>
        <v>0</v>
      </c>
      <c r="AA10" s="126">
        <f>SUM(Kostnader[[#This Row],[Max år 1]:[Max år 6]])</f>
        <v>1400000</v>
      </c>
      <c r="AB10" s="13"/>
    </row>
    <row r="11" spans="1:30" x14ac:dyDescent="0.2">
      <c r="B11" s="131">
        <v>2</v>
      </c>
      <c r="C11" s="160" t="str">
        <f>'Räkna på kostnader'!D27</f>
        <v>Drift och förvaltning</v>
      </c>
      <c r="D11" s="161" t="str">
        <f>'Räkna på kostnader'!D28</f>
        <v>Regioner</v>
      </c>
      <c r="E11" s="161" t="str">
        <f>'Räkna på kostnader'!D29</f>
        <v>Löpande verksamhetskostnader</v>
      </c>
      <c r="F11" s="170">
        <f>'Räkna på kostnader'!J42/F$6</f>
        <v>0</v>
      </c>
      <c r="G11" s="170">
        <f>'Räkna på kostnader'!K42/G$6</f>
        <v>291262.13592233008</v>
      </c>
      <c r="H11" s="170">
        <f>'Räkna på kostnader'!L42/H$6</f>
        <v>282778.7727401263</v>
      </c>
      <c r="I11" s="170">
        <f>'Räkna på kostnader'!M42/$I$6</f>
        <v>274542.49780594785</v>
      </c>
      <c r="J11" s="170">
        <f>'Räkna på kostnader'!N42/$J$6</f>
        <v>266546.1143747067</v>
      </c>
      <c r="K11" s="170">
        <f>'Räkna på kostnader'!O42/$K$6</f>
        <v>258782.63531524924</v>
      </c>
      <c r="L11" s="126">
        <f t="shared" ref="L11:L24" si="1">SUM(F11:K11)</f>
        <v>1373912.1561583602</v>
      </c>
      <c r="M11" s="127">
        <f t="shared" si="0"/>
        <v>0</v>
      </c>
      <c r="N11" s="125">
        <f>'Räkna på kostnader'!$J$43/F6</f>
        <v>0</v>
      </c>
      <c r="O11" s="125">
        <f>'Räkna på kostnader'!$K$43/G6</f>
        <v>291262.13592233008</v>
      </c>
      <c r="P11" s="125">
        <f>'Räkna på kostnader'!$L$43/H6</f>
        <v>282778.7727401263</v>
      </c>
      <c r="Q11" s="125">
        <f>'Räkna på kostnader'!$M$43/I6</f>
        <v>274542.49780594785</v>
      </c>
      <c r="R11" s="125">
        <f>'Räkna på kostnader'!$N$43/J6</f>
        <v>266546.1143747067</v>
      </c>
      <c r="S11" s="125">
        <f>'Räkna på kostnader'!$O$43/K6</f>
        <v>258782.63531524924</v>
      </c>
      <c r="T11" s="126">
        <f>SUM(Kostnader[[#This Row],[Min år 1]:[Min år 6]])</f>
        <v>1373912.1561583602</v>
      </c>
      <c r="U11" s="125">
        <f>'Räkna på kostnader'!$J$44/F6</f>
        <v>0</v>
      </c>
      <c r="V11" s="125">
        <f>'Räkna på kostnader'!$K$44/G6</f>
        <v>291262.13592233008</v>
      </c>
      <c r="W11" s="125">
        <f>'Räkna på kostnader'!$L$44/H6</f>
        <v>282778.7727401263</v>
      </c>
      <c r="X11" s="125">
        <f>'Räkna på kostnader'!$M$44/I6</f>
        <v>274542.49780594785</v>
      </c>
      <c r="Y11" s="125">
        <f>'Räkna på kostnader'!$N$44/J6</f>
        <v>266546.1143747067</v>
      </c>
      <c r="Z11" s="125">
        <f>'Räkna på kostnader'!$O$44/K6</f>
        <v>258782.63531524924</v>
      </c>
      <c r="AA11" s="126">
        <f>SUM(Kostnader[[#This Row],[Max år 1]:[Max år 6]])</f>
        <v>1373912.1561583602</v>
      </c>
      <c r="AB11" s="13"/>
    </row>
    <row r="12" spans="1:30" x14ac:dyDescent="0.2">
      <c r="B12" s="131">
        <v>3</v>
      </c>
      <c r="C12" s="160" t="str">
        <f>'Räkna på kostnader'!D51</f>
        <v>Kostnad för användning</v>
      </c>
      <c r="D12" s="161" t="str">
        <f>'Räkna på kostnader'!D52</f>
        <v>Regioner</v>
      </c>
      <c r="E12" s="161" t="str">
        <f>'Räkna på kostnader'!D53</f>
        <v>Löpande verksamhetskostnader</v>
      </c>
      <c r="F12" s="170">
        <f>'Räkna på kostnader'!J66</f>
        <v>0</v>
      </c>
      <c r="G12" s="170">
        <f>'Räkna på kostnader'!K66/G$6</f>
        <v>212330.09708737864</v>
      </c>
      <c r="H12" s="170">
        <f>'Räkna på kostnader'!L66/H$6</f>
        <v>206145.72532755209</v>
      </c>
      <c r="I12" s="170">
        <f>'Räkna på kostnader'!M66/$I$6</f>
        <v>200141.480900536</v>
      </c>
      <c r="J12" s="170">
        <f>'Räkna på kostnader'!N66/$J$6</f>
        <v>194312.11737916118</v>
      </c>
      <c r="K12" s="170">
        <f>'Räkna på kostnader'!O66/$K$6</f>
        <v>188652.5411448167</v>
      </c>
      <c r="L12" s="126">
        <f t="shared" si="1"/>
        <v>1001581.9618394446</v>
      </c>
      <c r="M12" s="127">
        <f t="shared" si="0"/>
        <v>1.3333333333333332E-2</v>
      </c>
      <c r="N12" s="125">
        <f>'Räkna på kostnader'!$J$67/F6</f>
        <v>0</v>
      </c>
      <c r="O12" s="125">
        <f>'Räkna på kostnader'!$K$67/G6</f>
        <v>28310.679611650485</v>
      </c>
      <c r="P12" s="125">
        <f>'Räkna på kostnader'!$L$67/H6</f>
        <v>27486.09671034028</v>
      </c>
      <c r="Q12" s="125">
        <f>'Räkna på kostnader'!$M$67/I6</f>
        <v>26685.530786738134</v>
      </c>
      <c r="R12" s="125">
        <f>'Räkna på kostnader'!$N$67/J6</f>
        <v>25908.282317221492</v>
      </c>
      <c r="S12" s="125">
        <f>'Räkna på kostnader'!$O$67/K6</f>
        <v>25153.672152642226</v>
      </c>
      <c r="T12" s="126">
        <f>SUM(Kostnader[[#This Row],[Min år 1]:[Min år 6]])</f>
        <v>133544.26157859262</v>
      </c>
      <c r="U12" s="125">
        <f>'Räkna på kostnader'!$J$68/F6</f>
        <v>0</v>
      </c>
      <c r="V12" s="125">
        <f>'Räkna på kostnader'!$K$68/G6</f>
        <v>42466.019417475727</v>
      </c>
      <c r="W12" s="125">
        <f>'Räkna på kostnader'!$L$68/H6</f>
        <v>41229.14506551042</v>
      </c>
      <c r="X12" s="125">
        <f>'Räkna på kostnader'!$M$68/I6</f>
        <v>40028.296180107202</v>
      </c>
      <c r="Y12" s="125">
        <f>'Räkna på kostnader'!$N$68/J6</f>
        <v>38862.423475832235</v>
      </c>
      <c r="Z12" s="125">
        <f>'Räkna på kostnader'!$O$68/K6</f>
        <v>37730.508228963336</v>
      </c>
      <c r="AA12" s="126">
        <f>SUM(Kostnader[[#This Row],[Max år 1]:[Max år 6]])</f>
        <v>200316.39236788891</v>
      </c>
      <c r="AB12" s="13"/>
    </row>
    <row r="13" spans="1:30" x14ac:dyDescent="0.2">
      <c r="B13" s="131">
        <v>4</v>
      </c>
      <c r="C13" s="160" t="str">
        <f>'Räkna på kostnader'!D74</f>
        <v>Regionernas interna kostnader</v>
      </c>
      <c r="D13" s="161" t="str">
        <f>'Räkna på kostnader'!D75</f>
        <v>Regioner</v>
      </c>
      <c r="E13" s="161" t="str">
        <f>'Räkna på kostnader'!D76</f>
        <v>Investeringar</v>
      </c>
      <c r="F13" s="170">
        <f>'Räkna på kostnader'!J89/F$6</f>
        <v>560000</v>
      </c>
      <c r="G13" s="170">
        <f>'Räkna på kostnader'!K89/G$6</f>
        <v>0</v>
      </c>
      <c r="H13" s="170">
        <f>'Räkna på kostnader'!L89/H$6</f>
        <v>0</v>
      </c>
      <c r="I13" s="170">
        <f>'Räkna på kostnader'!M89/$I$6</f>
        <v>0</v>
      </c>
      <c r="J13" s="170">
        <f>'Räkna på kostnader'!N89/$J$6</f>
        <v>0</v>
      </c>
      <c r="K13" s="170">
        <f>'Räkna på kostnader'!O89/$K$6</f>
        <v>0</v>
      </c>
      <c r="L13" s="126">
        <f t="shared" si="1"/>
        <v>560000</v>
      </c>
      <c r="M13" s="127">
        <f t="shared" si="0"/>
        <v>0</v>
      </c>
      <c r="N13" s="125">
        <f>'Räkna på kostnader'!$J$90/F6</f>
        <v>560000</v>
      </c>
      <c r="O13" s="125">
        <f>'Räkna på kostnader'!$K$90/G6</f>
        <v>0</v>
      </c>
      <c r="P13" s="125">
        <f>'Räkna på kostnader'!$L$90/H6</f>
        <v>0</v>
      </c>
      <c r="Q13" s="125">
        <f>'Räkna på kostnader'!$M$90/I6</f>
        <v>0</v>
      </c>
      <c r="R13" s="125">
        <f>'Räkna på kostnader'!$N$90/J6</f>
        <v>0</v>
      </c>
      <c r="S13" s="125">
        <f>'Räkna på kostnader'!$O$90/K6</f>
        <v>0</v>
      </c>
      <c r="T13" s="126">
        <f>SUM(Kostnader[[#This Row],[Min år 1]:[Min år 6]])</f>
        <v>560000</v>
      </c>
      <c r="U13" s="125">
        <f>'Räkna på kostnader'!$J$91/F6</f>
        <v>560000</v>
      </c>
      <c r="V13" s="125">
        <f>'Räkna på kostnader'!$K$91/G6</f>
        <v>0</v>
      </c>
      <c r="W13" s="125">
        <f>'Räkna på kostnader'!$L$91/H6</f>
        <v>0</v>
      </c>
      <c r="X13" s="125">
        <f>'Räkna på kostnader'!$M$91/I6</f>
        <v>0</v>
      </c>
      <c r="Y13" s="125">
        <f>'Räkna på kostnader'!$N$91/J6</f>
        <v>0</v>
      </c>
      <c r="Z13" s="125">
        <f>'Räkna på kostnader'!$O$91/K6</f>
        <v>0</v>
      </c>
      <c r="AA13" s="126">
        <f>SUM(Kostnader[[#This Row],[Max år 1]:[Max år 6]])</f>
        <v>560000</v>
      </c>
      <c r="AB13" s="13"/>
    </row>
    <row r="14" spans="1:30" x14ac:dyDescent="0.2">
      <c r="B14" s="131">
        <v>5</v>
      </c>
      <c r="C14" s="160">
        <f>'Räkna på kostnader'!D97</f>
        <v>0</v>
      </c>
      <c r="D14" s="161">
        <f>'Räkna på kostnader'!D98</f>
        <v>0</v>
      </c>
      <c r="E14" s="161">
        <f>'Räkna på kostnader'!D99</f>
        <v>0</v>
      </c>
      <c r="F14" s="170">
        <f>'Räkna på kostnader'!J112/F$6</f>
        <v>0</v>
      </c>
      <c r="G14" s="170">
        <f>'Räkna på kostnader'!K112/G$6</f>
        <v>0</v>
      </c>
      <c r="H14" s="170">
        <f>'Räkna på kostnader'!L112/H$6</f>
        <v>0</v>
      </c>
      <c r="I14" s="170">
        <f>'Räkna på kostnader'!M112/I$6</f>
        <v>0</v>
      </c>
      <c r="J14" s="170">
        <f>'Räkna på kostnader'!N112/J$6</f>
        <v>0</v>
      </c>
      <c r="K14" s="170">
        <f>'Räkna på kostnader'!O112/K$6</f>
        <v>0</v>
      </c>
      <c r="L14" s="126">
        <f t="shared" si="1"/>
        <v>0</v>
      </c>
      <c r="M14" s="127" t="str">
        <f t="shared" si="0"/>
        <v/>
      </c>
      <c r="N14" s="125">
        <f>'Räkna på kostnader'!$J$113/F6</f>
        <v>0</v>
      </c>
      <c r="O14" s="125">
        <f>'Räkna på kostnader'!$K$113/G6</f>
        <v>0</v>
      </c>
      <c r="P14" s="125">
        <f>'Räkna på kostnader'!$L$113/H6</f>
        <v>0</v>
      </c>
      <c r="Q14" s="125">
        <f>'Räkna på kostnader'!$M$113/I6</f>
        <v>0</v>
      </c>
      <c r="R14" s="125">
        <f>'Räkna på kostnader'!$N$113/J6</f>
        <v>0</v>
      </c>
      <c r="S14" s="125">
        <f>'Räkna på kostnader'!$O$113/K6</f>
        <v>0</v>
      </c>
      <c r="T14" s="126">
        <f>SUM(Kostnader[[#This Row],[Min år 1]:[Min år 6]])</f>
        <v>0</v>
      </c>
      <c r="U14" s="125">
        <f>'Räkna på kostnader'!$J$114/F6</f>
        <v>0</v>
      </c>
      <c r="V14" s="125">
        <f>'Räkna på kostnader'!$K$114/H6</f>
        <v>0</v>
      </c>
      <c r="W14" s="125">
        <f>'Räkna på kostnader'!$L$114/H6</f>
        <v>0</v>
      </c>
      <c r="X14" s="125">
        <f>'Räkna på kostnader'!$M$114/I6</f>
        <v>0</v>
      </c>
      <c r="Y14" s="125">
        <f>'Räkna på kostnader'!$N$114/J6</f>
        <v>0</v>
      </c>
      <c r="Z14" s="125">
        <f>'Räkna på kostnader'!$O$114/K6</f>
        <v>0</v>
      </c>
      <c r="AA14" s="126">
        <f>SUM(Kostnader[[#This Row],[Max år 1]:[Max år 6]])</f>
        <v>0</v>
      </c>
      <c r="AB14" s="13"/>
    </row>
    <row r="15" spans="1:30" x14ac:dyDescent="0.2">
      <c r="B15" s="131">
        <v>6</v>
      </c>
      <c r="C15" s="160">
        <f>'Räkna på kostnader'!D120</f>
        <v>0</v>
      </c>
      <c r="D15" s="161">
        <f>'Räkna på kostnader'!D121</f>
        <v>0</v>
      </c>
      <c r="E15" s="161">
        <f>'Räkna på kostnader'!D122</f>
        <v>0</v>
      </c>
      <c r="F15" s="170">
        <f>'Räkna på kostnader'!J135/F$6</f>
        <v>0</v>
      </c>
      <c r="G15" s="170">
        <f>'Räkna på kostnader'!K135/G$6</f>
        <v>0</v>
      </c>
      <c r="H15" s="170">
        <f>'Räkna på kostnader'!L135/H$6</f>
        <v>0</v>
      </c>
      <c r="I15" s="170">
        <f>'Räkna på kostnader'!M135/$I$6</f>
        <v>0</v>
      </c>
      <c r="J15" s="170">
        <f>'Räkna på kostnader'!N135/$J$6</f>
        <v>0</v>
      </c>
      <c r="K15" s="170">
        <f>'Räkna på kostnader'!O135/$K$6</f>
        <v>0</v>
      </c>
      <c r="L15" s="126">
        <f t="shared" si="1"/>
        <v>0</v>
      </c>
      <c r="M15" s="127" t="str">
        <f t="shared" si="0"/>
        <v/>
      </c>
      <c r="N15" s="125">
        <f>'Räkna på kostnader'!$J$136/F6</f>
        <v>0</v>
      </c>
      <c r="O15" s="125">
        <f>'Räkna på kostnader'!$K$136/G6</f>
        <v>0</v>
      </c>
      <c r="P15" s="125">
        <f>'Räkna på kostnader'!$L$136/H6</f>
        <v>0</v>
      </c>
      <c r="Q15" s="125">
        <f>'Räkna på kostnader'!$M$136/I6</f>
        <v>0</v>
      </c>
      <c r="R15" s="125">
        <f>'Räkna på kostnader'!$N$136/J6</f>
        <v>0</v>
      </c>
      <c r="S15" s="125">
        <f>'Räkna på kostnader'!$O$136/K6</f>
        <v>0</v>
      </c>
      <c r="T15" s="126">
        <f>SUM(Kostnader[[#This Row],[Min år 1]:[Min år 6]])</f>
        <v>0</v>
      </c>
      <c r="U15" s="125">
        <f>'Räkna på kostnader'!$J$137/F6</f>
        <v>0</v>
      </c>
      <c r="V15" s="125">
        <f>'Räkna på kostnader'!$K$137/G6</f>
        <v>0</v>
      </c>
      <c r="W15" s="125">
        <f>'Räkna på kostnader'!$L$137/H6</f>
        <v>0</v>
      </c>
      <c r="X15" s="125">
        <f>'Räkna på kostnader'!$M$137/I6</f>
        <v>0</v>
      </c>
      <c r="Y15" s="125">
        <f>'Räkna på kostnader'!$N$137/J6</f>
        <v>0</v>
      </c>
      <c r="Z15" s="125">
        <f>'Räkna på kostnader'!$O$137/K6</f>
        <v>0</v>
      </c>
      <c r="AA15" s="126">
        <f>SUM(Kostnader[[#This Row],[Max år 1]:[Max år 6]])</f>
        <v>0</v>
      </c>
      <c r="AB15" s="13"/>
    </row>
    <row r="16" spans="1:30" x14ac:dyDescent="0.2">
      <c r="B16" s="131">
        <v>7</v>
      </c>
      <c r="C16" s="160">
        <f>'Räkna på kostnader'!D143</f>
        <v>0</v>
      </c>
      <c r="D16" s="161">
        <f>'Räkna på kostnader'!D144</f>
        <v>0</v>
      </c>
      <c r="E16" s="161">
        <f>'Räkna på kostnader'!D145</f>
        <v>0</v>
      </c>
      <c r="F16" s="170">
        <f>'Räkna på kostnader'!J158/F$6</f>
        <v>0</v>
      </c>
      <c r="G16" s="170">
        <f>'Räkna på kostnader'!K158/G$6</f>
        <v>0</v>
      </c>
      <c r="H16" s="170">
        <f>'Räkna på kostnader'!L158/H$6</f>
        <v>0</v>
      </c>
      <c r="I16" s="170">
        <f>'Räkna på kostnader'!M158/$I$6</f>
        <v>0</v>
      </c>
      <c r="J16" s="170">
        <f>'Räkna på kostnader'!N158/$J$6</f>
        <v>0</v>
      </c>
      <c r="K16" s="170">
        <f>'Räkna på kostnader'!O158/$K$6</f>
        <v>0</v>
      </c>
      <c r="L16" s="126">
        <f t="shared" si="1"/>
        <v>0</v>
      </c>
      <c r="M16" s="127" t="str">
        <f t="shared" si="0"/>
        <v/>
      </c>
      <c r="N16" s="125">
        <f>'Räkna på kostnader'!$J$159/F6</f>
        <v>0</v>
      </c>
      <c r="O16" s="125">
        <f>'Räkna på kostnader'!$K$159/G6</f>
        <v>0</v>
      </c>
      <c r="P16" s="125">
        <f>'Räkna på kostnader'!$L$159/H6</f>
        <v>0</v>
      </c>
      <c r="Q16" s="125">
        <f>'Räkna på kostnader'!$M$159/I6</f>
        <v>0</v>
      </c>
      <c r="R16" s="125">
        <f>'Räkna på kostnader'!$N$159/J6</f>
        <v>0</v>
      </c>
      <c r="S16" s="125">
        <f>'Räkna på kostnader'!$O$159/K6</f>
        <v>0</v>
      </c>
      <c r="T16" s="126">
        <f>SUM(Kostnader[[#This Row],[Min år 1]:[Min år 6]])</f>
        <v>0</v>
      </c>
      <c r="U16" s="125">
        <f>'Räkna på kostnader'!$J$160/F6</f>
        <v>0</v>
      </c>
      <c r="V16" s="125">
        <f>'Räkna på kostnader'!$K$160/G6</f>
        <v>0</v>
      </c>
      <c r="W16" s="125">
        <f>'Räkna på kostnader'!$L$160/H6</f>
        <v>0</v>
      </c>
      <c r="X16" s="125">
        <f>'Räkna på kostnader'!$M$160/I6</f>
        <v>0</v>
      </c>
      <c r="Y16" s="125">
        <f>'Räkna på kostnader'!$N$160/J6</f>
        <v>0</v>
      </c>
      <c r="Z16" s="125">
        <f>'Räkna på kostnader'!$O$160/K6</f>
        <v>0</v>
      </c>
      <c r="AA16" s="126">
        <f>SUM(Kostnader[[#This Row],[Max år 1]:[Max år 6]])</f>
        <v>0</v>
      </c>
      <c r="AB16" s="13"/>
    </row>
    <row r="17" spans="2:30" x14ac:dyDescent="0.2">
      <c r="B17" s="131">
        <v>8</v>
      </c>
      <c r="C17" s="160">
        <f>'Räkna på kostnader'!D166</f>
        <v>0</v>
      </c>
      <c r="D17" s="161">
        <f>'Räkna på kostnader'!D167</f>
        <v>0</v>
      </c>
      <c r="E17" s="161">
        <f>'Räkna på kostnader'!D168</f>
        <v>0</v>
      </c>
      <c r="F17" s="170">
        <f>'Räkna på kostnader'!J181/F$6</f>
        <v>0</v>
      </c>
      <c r="G17" s="170">
        <f>'Räkna på kostnader'!K181/G$6</f>
        <v>0</v>
      </c>
      <c r="H17" s="170">
        <f>'Räkna på kostnader'!L181/H$6</f>
        <v>0</v>
      </c>
      <c r="I17" s="170">
        <f>'Räkna på kostnader'!M181/$I$6</f>
        <v>0</v>
      </c>
      <c r="J17" s="170">
        <f>'Räkna på kostnader'!N181/$J$6</f>
        <v>0</v>
      </c>
      <c r="K17" s="170">
        <f>'Räkna på kostnader'!O181/$K$6</f>
        <v>0</v>
      </c>
      <c r="L17" s="126">
        <f t="shared" si="1"/>
        <v>0</v>
      </c>
      <c r="M17" s="127" t="str">
        <f t="shared" si="0"/>
        <v/>
      </c>
      <c r="N17" s="125">
        <f>'Räkna på kostnader'!$J$182/F6</f>
        <v>0</v>
      </c>
      <c r="O17" s="125">
        <f>'Räkna på kostnader'!$K$182/G6</f>
        <v>0</v>
      </c>
      <c r="P17" s="125">
        <f>'Räkna på kostnader'!$L$182/H6</f>
        <v>0</v>
      </c>
      <c r="Q17" s="125">
        <f>'Räkna på kostnader'!$M$182/I6</f>
        <v>0</v>
      </c>
      <c r="R17" s="125">
        <f>'Räkna på kostnader'!$N$182/J6</f>
        <v>0</v>
      </c>
      <c r="S17" s="125">
        <f>'Räkna på kostnader'!$O$182/K6</f>
        <v>0</v>
      </c>
      <c r="T17" s="126">
        <f>SUM(Kostnader[[#This Row],[Min år 1]:[Min år 6]])</f>
        <v>0</v>
      </c>
      <c r="U17" s="125">
        <f>'Räkna på kostnader'!$J$183/F6</f>
        <v>0</v>
      </c>
      <c r="V17" s="125">
        <f>'Räkna på kostnader'!$K$183/G6</f>
        <v>0</v>
      </c>
      <c r="W17" s="125">
        <f>'Räkna på kostnader'!$L$183/H6</f>
        <v>0</v>
      </c>
      <c r="X17" s="125">
        <f>'Räkna på kostnader'!$M$183/I6</f>
        <v>0</v>
      </c>
      <c r="Y17" s="125">
        <f>'Räkna på kostnader'!$N$183/J6</f>
        <v>0</v>
      </c>
      <c r="Z17" s="125">
        <f>'Räkna på kostnader'!$O$183/K6</f>
        <v>0</v>
      </c>
      <c r="AA17" s="126">
        <f>SUM(Kostnader[[#This Row],[Max år 1]:[Max år 6]])</f>
        <v>0</v>
      </c>
      <c r="AB17" s="13"/>
    </row>
    <row r="18" spans="2:30" x14ac:dyDescent="0.2">
      <c r="B18" s="131">
        <v>9</v>
      </c>
      <c r="C18" s="160">
        <f>'Räkna på kostnader'!D189</f>
        <v>0</v>
      </c>
      <c r="D18" s="161">
        <f>'Räkna på kostnader'!D190</f>
        <v>0</v>
      </c>
      <c r="E18" s="161">
        <f>'Räkna på kostnader'!D191</f>
        <v>0</v>
      </c>
      <c r="F18" s="170">
        <f>'Räkna på kostnader'!J204/F$6</f>
        <v>0</v>
      </c>
      <c r="G18" s="170">
        <f>'Räkna på kostnader'!K204/G$6</f>
        <v>0</v>
      </c>
      <c r="H18" s="170">
        <f>'Räkna på kostnader'!L204/H$6</f>
        <v>0</v>
      </c>
      <c r="I18" s="170">
        <f>'Räkna på kostnader'!M204/$I$6</f>
        <v>0</v>
      </c>
      <c r="J18" s="170">
        <f>'Räkna på kostnader'!N204/$J$6</f>
        <v>0</v>
      </c>
      <c r="K18" s="170">
        <f>'Räkna på kostnader'!O204/$K$6</f>
        <v>0</v>
      </c>
      <c r="L18" s="126">
        <f t="shared" si="1"/>
        <v>0</v>
      </c>
      <c r="M18" s="127" t="str">
        <f t="shared" si="0"/>
        <v/>
      </c>
      <c r="N18" s="125">
        <f>'Räkna på kostnader'!$J$205/F6</f>
        <v>0</v>
      </c>
      <c r="O18" s="125">
        <f>'Räkna på kostnader'!$K$205/G6</f>
        <v>0</v>
      </c>
      <c r="P18" s="125">
        <f>'Räkna på kostnader'!$L$205/H6</f>
        <v>0</v>
      </c>
      <c r="Q18" s="125">
        <f>'Räkna på kostnader'!$M$205/I6</f>
        <v>0</v>
      </c>
      <c r="R18" s="125">
        <f>'Räkna på kostnader'!$N$205/J6</f>
        <v>0</v>
      </c>
      <c r="S18" s="125">
        <f>'Räkna på kostnader'!$O$205/K6</f>
        <v>0</v>
      </c>
      <c r="T18" s="126">
        <f>SUM(Kostnader[[#This Row],[Min år 1]:[Min år 6]])</f>
        <v>0</v>
      </c>
      <c r="U18" s="125">
        <f>'Räkna på kostnader'!$J$206/F6</f>
        <v>0</v>
      </c>
      <c r="V18" s="125">
        <f>'Räkna på kostnader'!$K$206/G6</f>
        <v>0</v>
      </c>
      <c r="W18" s="125">
        <f>'Räkna på kostnader'!$L$206/H6</f>
        <v>0</v>
      </c>
      <c r="X18" s="125">
        <f>'Räkna på kostnader'!$M$206/I6</f>
        <v>0</v>
      </c>
      <c r="Y18" s="125">
        <f>'Räkna på kostnader'!$N$206/J6</f>
        <v>0</v>
      </c>
      <c r="Z18" s="125">
        <f>'Räkna på kostnader'!$O$206/K6</f>
        <v>0</v>
      </c>
      <c r="AA18" s="126">
        <f>SUM(Kostnader[[#This Row],[Max år 1]:[Max år 6]])</f>
        <v>0</v>
      </c>
      <c r="AB18" s="13"/>
    </row>
    <row r="19" spans="2:30" x14ac:dyDescent="0.2">
      <c r="B19" s="131">
        <v>10</v>
      </c>
      <c r="C19" s="160">
        <f>'Räkna på kostnader'!D212</f>
        <v>0</v>
      </c>
      <c r="D19" s="161">
        <f>'Räkna på kostnader'!D213</f>
        <v>0</v>
      </c>
      <c r="E19" s="161">
        <f>'Räkna på kostnader'!D214</f>
        <v>0</v>
      </c>
      <c r="F19" s="170">
        <f>'Räkna på kostnader'!J227/F$6</f>
        <v>0</v>
      </c>
      <c r="G19" s="170">
        <f>'Räkna på kostnader'!K227/G$6</f>
        <v>0</v>
      </c>
      <c r="H19" s="170">
        <f>'Räkna på kostnader'!L227/H$6</f>
        <v>0</v>
      </c>
      <c r="I19" s="170">
        <f>'Räkna på kostnader'!M227/$I$6</f>
        <v>0</v>
      </c>
      <c r="J19" s="170">
        <f>'Räkna på kostnader'!N227/$J$6</f>
        <v>0</v>
      </c>
      <c r="K19" s="170">
        <f>'Räkna på kostnader'!O227/$K$6</f>
        <v>0</v>
      </c>
      <c r="L19" s="126">
        <f t="shared" si="1"/>
        <v>0</v>
      </c>
      <c r="M19" s="127" t="str">
        <f t="shared" si="0"/>
        <v/>
      </c>
      <c r="N19" s="125">
        <f>'Räkna på kostnader'!$J$228/F6</f>
        <v>0</v>
      </c>
      <c r="O19" s="125">
        <f>'Räkna på kostnader'!$K$228/G6</f>
        <v>0</v>
      </c>
      <c r="P19" s="125">
        <f>'Räkna på kostnader'!$L$228/H6</f>
        <v>0</v>
      </c>
      <c r="Q19" s="125">
        <f>'Räkna på kostnader'!$M$228/I6</f>
        <v>0</v>
      </c>
      <c r="R19" s="125">
        <f>'Räkna på kostnader'!$N$228/J6</f>
        <v>0</v>
      </c>
      <c r="S19" s="125">
        <f>'Räkna på kostnader'!$O$228/K6</f>
        <v>0</v>
      </c>
      <c r="T19" s="126">
        <f>SUM(Kostnader[[#This Row],[Min år 1]:[Min år 6]])</f>
        <v>0</v>
      </c>
      <c r="U19" s="125">
        <f>'Räkna på kostnader'!$J$229/F6</f>
        <v>0</v>
      </c>
      <c r="V19" s="125">
        <f>'Räkna på kostnader'!$K$229/G6</f>
        <v>0</v>
      </c>
      <c r="W19" s="125">
        <f>'Räkna på kostnader'!$L$229/H6</f>
        <v>0</v>
      </c>
      <c r="X19" s="125">
        <f>'Räkna på kostnader'!$M$229/I6</f>
        <v>0</v>
      </c>
      <c r="Y19" s="125">
        <f>'Räkna på kostnader'!$N$229/J6</f>
        <v>0</v>
      </c>
      <c r="Z19" s="125">
        <f>'Räkna på kostnader'!$O$229/K6</f>
        <v>0</v>
      </c>
      <c r="AA19" s="126">
        <f>SUM(Kostnader[[#This Row],[Max år 1]:[Max år 6]])</f>
        <v>0</v>
      </c>
      <c r="AB19" s="13"/>
    </row>
    <row r="20" spans="2:30" x14ac:dyDescent="0.2">
      <c r="B20" s="131">
        <v>11</v>
      </c>
      <c r="C20" s="160">
        <f>'Räkna på kostnader'!D235</f>
        <v>0</v>
      </c>
      <c r="D20" s="161">
        <f>'Räkna på kostnader'!D236</f>
        <v>0</v>
      </c>
      <c r="E20" s="161">
        <f>'Räkna på kostnader'!D237</f>
        <v>0</v>
      </c>
      <c r="F20" s="170">
        <f>'Räkna på kostnader'!J250/F$6</f>
        <v>0</v>
      </c>
      <c r="G20" s="170">
        <f>'Räkna på kostnader'!K250/G$6</f>
        <v>0</v>
      </c>
      <c r="H20" s="170">
        <f>'Räkna på kostnader'!L250/H$6</f>
        <v>0</v>
      </c>
      <c r="I20" s="170">
        <f>'Räkna på kostnader'!M250/$I$6</f>
        <v>0</v>
      </c>
      <c r="J20" s="170">
        <f>'Räkna på kostnader'!N250/$J$6</f>
        <v>0</v>
      </c>
      <c r="K20" s="170">
        <f>'Räkna på kostnader'!O250/$K$6</f>
        <v>0</v>
      </c>
      <c r="L20" s="126">
        <f t="shared" si="1"/>
        <v>0</v>
      </c>
      <c r="M20" s="127" t="str">
        <f t="shared" si="0"/>
        <v/>
      </c>
      <c r="N20" s="125">
        <f>'Räkna på kostnader'!$J$251/F6</f>
        <v>0</v>
      </c>
      <c r="O20" s="125">
        <f>'Räkna på kostnader'!$K$251/G6</f>
        <v>0</v>
      </c>
      <c r="P20" s="125">
        <f>'Räkna på kostnader'!$L$251/H6</f>
        <v>0</v>
      </c>
      <c r="Q20" s="125">
        <f>'Räkna på kostnader'!$M$251/I6</f>
        <v>0</v>
      </c>
      <c r="R20" s="125">
        <f>'Räkna på kostnader'!$N$251/J6</f>
        <v>0</v>
      </c>
      <c r="S20" s="125">
        <f>'Räkna på kostnader'!$O$251/K6</f>
        <v>0</v>
      </c>
      <c r="T20" s="126">
        <f>SUM(Kostnader[[#This Row],[Min år 1]:[Min år 6]])</f>
        <v>0</v>
      </c>
      <c r="U20" s="125">
        <f>'Räkna på kostnader'!$J$252/F6</f>
        <v>0</v>
      </c>
      <c r="V20" s="125">
        <f>'Räkna på kostnader'!$K$252/G6</f>
        <v>0</v>
      </c>
      <c r="W20" s="125">
        <f>'Räkna på kostnader'!$L$252/H6</f>
        <v>0</v>
      </c>
      <c r="X20" s="125">
        <f>'Räkna på kostnader'!$M$252/I6</f>
        <v>0</v>
      </c>
      <c r="Y20" s="125">
        <f>'Räkna på kostnader'!$N$252/J6</f>
        <v>0</v>
      </c>
      <c r="Z20" s="125">
        <f>'Räkna på kostnader'!$O$252/K6</f>
        <v>0</v>
      </c>
      <c r="AA20" s="126">
        <f>SUM(Kostnader[[#This Row],[Max år 1]:[Max år 6]])</f>
        <v>0</v>
      </c>
      <c r="AB20" s="13"/>
    </row>
    <row r="21" spans="2:30" x14ac:dyDescent="0.2">
      <c r="B21" s="131">
        <v>12</v>
      </c>
      <c r="C21" s="160">
        <f>'Räkna på kostnader'!D258</f>
        <v>0</v>
      </c>
      <c r="D21" s="161">
        <f>'Räkna på kostnader'!D259</f>
        <v>0</v>
      </c>
      <c r="E21" s="161">
        <f>'Räkna på kostnader'!D260</f>
        <v>0</v>
      </c>
      <c r="F21" s="170">
        <f>'Räkna på kostnader'!J273/F$6</f>
        <v>0</v>
      </c>
      <c r="G21" s="170">
        <f>'Räkna på kostnader'!K273/G$6</f>
        <v>0</v>
      </c>
      <c r="H21" s="170">
        <f>'Räkna på kostnader'!L273/H$6</f>
        <v>0</v>
      </c>
      <c r="I21" s="170">
        <f>'Räkna på kostnader'!M273/$I$6</f>
        <v>0</v>
      </c>
      <c r="J21" s="170">
        <f>'Räkna på kostnader'!N273/$J$6</f>
        <v>0</v>
      </c>
      <c r="K21" s="170">
        <f>'Räkna på kostnader'!O273/$K$6</f>
        <v>0</v>
      </c>
      <c r="L21" s="126">
        <f t="shared" si="1"/>
        <v>0</v>
      </c>
      <c r="M21" s="127" t="str">
        <f t="shared" si="0"/>
        <v/>
      </c>
      <c r="N21" s="125">
        <f>'Räkna på kostnader'!$J$274/F6</f>
        <v>0</v>
      </c>
      <c r="O21" s="125">
        <f>'Räkna på kostnader'!$K$274/G6</f>
        <v>0</v>
      </c>
      <c r="P21" s="125">
        <f>'Räkna på kostnader'!$L$274/H6</f>
        <v>0</v>
      </c>
      <c r="Q21" s="125">
        <f>'Räkna på kostnader'!$M$274/I6</f>
        <v>0</v>
      </c>
      <c r="R21" s="125">
        <f>'Räkna på kostnader'!$N$274/J6</f>
        <v>0</v>
      </c>
      <c r="S21" s="125">
        <f>'Räkna på kostnader'!$O$274/K6</f>
        <v>0</v>
      </c>
      <c r="T21" s="126">
        <f>SUM(Kostnader[[#This Row],[Min år 1]:[Min år 6]])</f>
        <v>0</v>
      </c>
      <c r="U21" s="125">
        <f>'Räkna på kostnader'!$J$275/F6</f>
        <v>0</v>
      </c>
      <c r="V21" s="125">
        <f>'Räkna på kostnader'!$K$275/G6</f>
        <v>0</v>
      </c>
      <c r="W21" s="125">
        <f>'Räkna på kostnader'!$L$275/H6</f>
        <v>0</v>
      </c>
      <c r="X21" s="125">
        <f>'Räkna på kostnader'!$M$275/I6</f>
        <v>0</v>
      </c>
      <c r="Y21" s="125">
        <f>'Räkna på kostnader'!$N$275/J6</f>
        <v>0</v>
      </c>
      <c r="Z21" s="125">
        <f>'Räkna på kostnader'!$O$275/K6</f>
        <v>0</v>
      </c>
      <c r="AA21" s="126">
        <f>SUM(Kostnader[[#This Row],[Max år 1]:[Max år 6]])</f>
        <v>0</v>
      </c>
      <c r="AB21" s="13"/>
    </row>
    <row r="22" spans="2:30" x14ac:dyDescent="0.2">
      <c r="B22" s="131">
        <v>13</v>
      </c>
      <c r="C22" s="160">
        <f>'Räkna på kostnader'!D281</f>
        <v>0</v>
      </c>
      <c r="D22" s="161">
        <f>'Räkna på kostnader'!D282</f>
        <v>0</v>
      </c>
      <c r="E22" s="161">
        <f>'Räkna på kostnader'!D283</f>
        <v>0</v>
      </c>
      <c r="F22" s="170">
        <f>'Räkna på kostnader'!J296/F$6</f>
        <v>0</v>
      </c>
      <c r="G22" s="170">
        <f>'Räkna på kostnader'!K296/G$6</f>
        <v>0</v>
      </c>
      <c r="H22" s="170">
        <f>'Räkna på kostnader'!L296/H$6</f>
        <v>0</v>
      </c>
      <c r="I22" s="170">
        <f>'Räkna på kostnader'!M296/$I$6</f>
        <v>0</v>
      </c>
      <c r="J22" s="170">
        <f>'Räkna på kostnader'!N296/$J$6</f>
        <v>0</v>
      </c>
      <c r="K22" s="170">
        <f>'Räkna på kostnader'!O296/$K$6</f>
        <v>0</v>
      </c>
      <c r="L22" s="126">
        <f t="shared" si="1"/>
        <v>0</v>
      </c>
      <c r="M22" s="127" t="str">
        <f t="shared" si="0"/>
        <v/>
      </c>
      <c r="N22" s="125">
        <f>'Räkna på kostnader'!$J$297/F6</f>
        <v>0</v>
      </c>
      <c r="O22" s="125">
        <f>'Räkna på kostnader'!$K$297/G6</f>
        <v>0</v>
      </c>
      <c r="P22" s="125">
        <f>'Räkna på kostnader'!$L$297/H6</f>
        <v>0</v>
      </c>
      <c r="Q22" s="125">
        <f>'Räkna på kostnader'!$M$297/I6</f>
        <v>0</v>
      </c>
      <c r="R22" s="125">
        <f>'Räkna på kostnader'!$N$297/J6</f>
        <v>0</v>
      </c>
      <c r="S22" s="125">
        <f>'Räkna på kostnader'!$O$297/K6</f>
        <v>0</v>
      </c>
      <c r="T22" s="126">
        <f>SUM(Kostnader[[#This Row],[Min år 1]:[Min år 6]])</f>
        <v>0</v>
      </c>
      <c r="U22" s="125">
        <f>'Räkna på kostnader'!$J$298/F6</f>
        <v>0</v>
      </c>
      <c r="V22" s="125">
        <f>'Räkna på kostnader'!$K$298/G6</f>
        <v>0</v>
      </c>
      <c r="W22" s="125">
        <f>'Räkna på kostnader'!$L$298/H6</f>
        <v>0</v>
      </c>
      <c r="X22" s="125">
        <f>'Räkna på kostnader'!$M$298/I6</f>
        <v>0</v>
      </c>
      <c r="Y22" s="125">
        <f>'Räkna på kostnader'!$N$298/J6</f>
        <v>0</v>
      </c>
      <c r="Z22" s="125">
        <f>'Räkna på kostnader'!$O$298/K6</f>
        <v>0</v>
      </c>
      <c r="AA22" s="126">
        <f>SUM(Kostnader[[#This Row],[Max år 1]:[Max år 6]])</f>
        <v>0</v>
      </c>
      <c r="AB22" s="13"/>
    </row>
    <row r="23" spans="2:30" x14ac:dyDescent="0.2">
      <c r="B23" s="131">
        <v>14</v>
      </c>
      <c r="C23" s="160">
        <f>'Räkna på kostnader'!D304</f>
        <v>0</v>
      </c>
      <c r="D23" s="161">
        <f>'Räkna på kostnader'!D305</f>
        <v>0</v>
      </c>
      <c r="E23" s="161">
        <f>'Räkna på kostnader'!D306</f>
        <v>0</v>
      </c>
      <c r="F23" s="170">
        <f>'Räkna på kostnader'!J319/F$6</f>
        <v>0</v>
      </c>
      <c r="G23" s="170">
        <f>'Räkna på kostnader'!K319/G$6</f>
        <v>0</v>
      </c>
      <c r="H23" s="170">
        <f>'Räkna på kostnader'!L319/H$6</f>
        <v>0</v>
      </c>
      <c r="I23" s="170">
        <f>'Räkna på kostnader'!M319/$I$6</f>
        <v>0</v>
      </c>
      <c r="J23" s="170">
        <f>'Räkna på kostnader'!N319/$J$6</f>
        <v>0</v>
      </c>
      <c r="K23" s="170">
        <f>'Räkna på kostnader'!O319/$K$6</f>
        <v>0</v>
      </c>
      <c r="L23" s="126">
        <f t="shared" si="1"/>
        <v>0</v>
      </c>
      <c r="M23" s="127" t="str">
        <f t="shared" si="0"/>
        <v/>
      </c>
      <c r="N23" s="125">
        <f>'Räkna på kostnader'!$J$320/F6</f>
        <v>0</v>
      </c>
      <c r="O23" s="125">
        <f>'Räkna på kostnader'!$K$320/G6</f>
        <v>0</v>
      </c>
      <c r="P23" s="125">
        <f>'Räkna på kostnader'!$L$320/H6</f>
        <v>0</v>
      </c>
      <c r="Q23" s="125">
        <f>'Räkna på kostnader'!$M$320/I6</f>
        <v>0</v>
      </c>
      <c r="R23" s="125">
        <f>'Räkna på kostnader'!$N$320/J6</f>
        <v>0</v>
      </c>
      <c r="S23" s="125">
        <f>'Räkna på kostnader'!$O$320/K6</f>
        <v>0</v>
      </c>
      <c r="T23" s="126">
        <f>SUM(Kostnader[[#This Row],[Min år 1]:[Min år 6]])</f>
        <v>0</v>
      </c>
      <c r="U23" s="125">
        <f>'Räkna på kostnader'!$J$321/F6</f>
        <v>0</v>
      </c>
      <c r="V23" s="125">
        <f>'Räkna på kostnader'!$K$321/G6</f>
        <v>0</v>
      </c>
      <c r="W23" s="125">
        <f>'Räkna på kostnader'!$L$321/H6</f>
        <v>0</v>
      </c>
      <c r="X23" s="125">
        <f>'Räkna på kostnader'!$M$321/I6</f>
        <v>0</v>
      </c>
      <c r="Y23" s="125">
        <f>'Räkna på kostnader'!$N$321/J6</f>
        <v>0</v>
      </c>
      <c r="Z23" s="125">
        <f>'Räkna på kostnader'!$O$321/K6</f>
        <v>0</v>
      </c>
      <c r="AA23" s="126">
        <f>SUM(Kostnader[[#This Row],[Max år 1]:[Max år 6]])</f>
        <v>0</v>
      </c>
    </row>
    <row r="24" spans="2:30" ht="13.5" thickBot="1" x14ac:dyDescent="0.25">
      <c r="B24" s="167">
        <v>15</v>
      </c>
      <c r="C24" s="171">
        <f>'Räkna på kostnader'!D327</f>
        <v>0</v>
      </c>
      <c r="D24" s="172">
        <f>'Räkna på kostnader'!D328</f>
        <v>0</v>
      </c>
      <c r="E24" s="172">
        <f>'Räkna på kostnader'!D329</f>
        <v>0</v>
      </c>
      <c r="F24" s="173">
        <f>'Räkna på kostnader'!J342/F$6</f>
        <v>0</v>
      </c>
      <c r="G24" s="173">
        <f>'Räkna på kostnader'!K342/G$6</f>
        <v>0</v>
      </c>
      <c r="H24" s="173">
        <f>'Räkna på kostnader'!L342/H$6</f>
        <v>0</v>
      </c>
      <c r="I24" s="173">
        <f>'Räkna på kostnader'!M342/$I$6</f>
        <v>0</v>
      </c>
      <c r="J24" s="173">
        <f>'Räkna på kostnader'!N342/$J$6</f>
        <v>0</v>
      </c>
      <c r="K24" s="173">
        <f>'Räkna på kostnader'!O342/$K$6</f>
        <v>0</v>
      </c>
      <c r="L24" s="168">
        <f t="shared" si="1"/>
        <v>0</v>
      </c>
      <c r="M24" s="169" t="str">
        <f t="shared" si="0"/>
        <v/>
      </c>
      <c r="N24" s="125">
        <f>'Räkna på kostnader'!$J$343/F6</f>
        <v>0</v>
      </c>
      <c r="O24" s="125">
        <f>'Räkna på kostnader'!$K$343/G6</f>
        <v>0</v>
      </c>
      <c r="P24" s="125">
        <f>'Räkna på kostnader'!$L$343/H6</f>
        <v>0</v>
      </c>
      <c r="Q24" s="125">
        <f>'Räkna på kostnader'!$M$343/I6</f>
        <v>0</v>
      </c>
      <c r="R24" s="125">
        <f>'Räkna på kostnader'!$N$343/J6</f>
        <v>0</v>
      </c>
      <c r="S24" s="125">
        <f>'Räkna på kostnader'!$O$343/K6</f>
        <v>0</v>
      </c>
      <c r="T24" s="126">
        <f>SUM(Kostnader[[#This Row],[Min år 1]:[Min år 6]])</f>
        <v>0</v>
      </c>
      <c r="U24" s="125">
        <f>'Räkna på kostnader'!$J$344/F6</f>
        <v>0</v>
      </c>
      <c r="V24" s="125">
        <f>'Räkna på kostnader'!$K$344/G6</f>
        <v>0</v>
      </c>
      <c r="W24" s="125">
        <f>'Räkna på kostnader'!$L$344/H6</f>
        <v>0</v>
      </c>
      <c r="X24" s="125">
        <f>'Räkna på kostnader'!$M$344/I6</f>
        <v>0</v>
      </c>
      <c r="Y24" s="125">
        <f>'Räkna på kostnader'!$N$344/J6</f>
        <v>0</v>
      </c>
      <c r="Z24" s="125">
        <f>'Räkna på kostnader'!$O$344/K6</f>
        <v>0</v>
      </c>
      <c r="AA24" s="126">
        <f>SUM(Kostnader[[#This Row],[Max år 1]:[Max år 6]])</f>
        <v>0</v>
      </c>
    </row>
    <row r="25" spans="2:30" ht="13.5" thickTop="1" x14ac:dyDescent="0.2">
      <c r="B25" s="174" t="s">
        <v>10</v>
      </c>
      <c r="C25" s="175"/>
      <c r="D25" s="175"/>
      <c r="E25" s="175"/>
      <c r="F25" s="176">
        <f>SUM(Kostnader[Trolig år 1])</f>
        <v>1960000</v>
      </c>
      <c r="G25" s="176">
        <f>SUM(Kostnader[Trolig år 2])</f>
        <v>503592.2330097087</v>
      </c>
      <c r="H25" s="176">
        <f>SUM(Kostnader[Trolig år 3])</f>
        <v>488924.49806767842</v>
      </c>
      <c r="I25" s="176">
        <f>SUM(Kostnader[Trolig år 4])</f>
        <v>474683.97870648385</v>
      </c>
      <c r="J25" s="176">
        <f>SUM(Kostnader[Trolig år 5])</f>
        <v>460858.23175386788</v>
      </c>
      <c r="K25" s="176">
        <f>SUM(Kostnader[Trolig år 6])</f>
        <v>447435.17646006594</v>
      </c>
      <c r="L25" s="176">
        <f>SUM(Kostnader[Summa trolig])</f>
        <v>4335494.1179978047</v>
      </c>
      <c r="M25" s="198">
        <f>IFERROR(AVERAGE(Kostnader[Osäkerhet]),0)</f>
        <v>3.3333333333333331E-3</v>
      </c>
      <c r="N25" s="176">
        <f>SUM(Kostnader[Min år 1])</f>
        <v>1960000</v>
      </c>
      <c r="O25" s="176">
        <f>SUM(Kostnader[Min år 2])</f>
        <v>319572.81553398055</v>
      </c>
      <c r="P25" s="176">
        <f>SUM(Kostnader[Min år 3])</f>
        <v>310264.86945046659</v>
      </c>
      <c r="Q25" s="176">
        <f>SUM(Kostnader[Min år 4])</f>
        <v>301228.02859268599</v>
      </c>
      <c r="R25" s="176">
        <f>SUM(Kostnader[Min år 5])</f>
        <v>292454.39669192821</v>
      </c>
      <c r="S25" s="176">
        <f>SUM(Kostnader[Min år 6])</f>
        <v>283936.30746789149</v>
      </c>
      <c r="T25" s="176">
        <f>SUM(Kostnader[Summa min])</f>
        <v>3467456.4177369527</v>
      </c>
      <c r="U25" s="176">
        <f>SUM(Kostnader[Max år 1])</f>
        <v>1960000</v>
      </c>
      <c r="V25" s="176">
        <f>SUM(Kostnader[Max år 2])</f>
        <v>333728.15533980582</v>
      </c>
      <c r="W25" s="176">
        <f>SUM(Kostnader[Max år 3])</f>
        <v>324007.91780563671</v>
      </c>
      <c r="X25" s="176">
        <f>SUM(Kostnader[Max år 4])</f>
        <v>314570.79398605507</v>
      </c>
      <c r="Y25" s="176">
        <f>SUM(Kostnader[Max år 5])</f>
        <v>305408.53785053891</v>
      </c>
      <c r="Z25" s="176">
        <f>SUM(Kostnader[Max år 6])</f>
        <v>296513.14354421257</v>
      </c>
      <c r="AA25" s="176">
        <f>SUM(Kostnader[Summa max])</f>
        <v>3534228.5485262489</v>
      </c>
    </row>
    <row r="26" spans="2:30" ht="15" x14ac:dyDescent="0.2">
      <c r="D26" s="77"/>
      <c r="E26" s="14"/>
      <c r="F26" s="14"/>
      <c r="G26" s="14"/>
      <c r="H26" s="14"/>
      <c r="I26" s="14"/>
      <c r="J26" s="14"/>
    </row>
    <row r="27" spans="2:30" s="19" customFormat="1" x14ac:dyDescent="0.2">
      <c r="B27" s="11"/>
      <c r="C27" s="11"/>
      <c r="D27" s="14"/>
      <c r="E27" s="14"/>
      <c r="F27" s="14"/>
      <c r="G27" s="14"/>
      <c r="H27" s="14"/>
      <c r="I27" s="14"/>
      <c r="J27" s="14"/>
      <c r="K27" s="11"/>
      <c r="L27" s="11"/>
      <c r="M27" s="11"/>
      <c r="N27" s="11"/>
      <c r="O27" s="11"/>
      <c r="P27" s="11"/>
      <c r="Q27" s="11"/>
      <c r="R27" s="11"/>
      <c r="S27" s="11"/>
      <c r="T27" s="11"/>
      <c r="U27" s="11"/>
      <c r="V27" s="11"/>
      <c r="W27" s="11"/>
      <c r="X27" s="11"/>
      <c r="Y27" s="11"/>
      <c r="Z27" s="11"/>
      <c r="AA27" s="11"/>
      <c r="AB27" s="11"/>
      <c r="AC27" s="11"/>
      <c r="AD27" s="11"/>
    </row>
    <row r="28" spans="2:30" x14ac:dyDescent="0.2">
      <c r="D28" s="14"/>
      <c r="E28" s="14"/>
      <c r="F28" s="14"/>
      <c r="G28" s="14"/>
      <c r="H28" s="14"/>
      <c r="I28" s="14"/>
      <c r="J28" s="14"/>
    </row>
    <row r="29" spans="2:30" x14ac:dyDescent="0.2">
      <c r="D29" s="14"/>
      <c r="E29" s="14"/>
      <c r="F29" s="14"/>
      <c r="G29" s="14"/>
      <c r="H29" s="14"/>
      <c r="I29" s="14"/>
      <c r="J29" s="14"/>
    </row>
    <row r="30" spans="2:30" x14ac:dyDescent="0.2">
      <c r="D30" s="14"/>
      <c r="E30" s="14"/>
      <c r="F30" s="14"/>
      <c r="G30" s="14"/>
      <c r="H30" s="14"/>
      <c r="I30" s="14"/>
      <c r="J30" s="14"/>
    </row>
    <row r="31" spans="2:30" x14ac:dyDescent="0.2">
      <c r="D31" s="14"/>
      <c r="E31" s="14"/>
      <c r="F31" s="14"/>
      <c r="G31" s="14"/>
    </row>
    <row r="32" spans="2:30" x14ac:dyDescent="0.2">
      <c r="D32" s="14"/>
      <c r="E32" s="14"/>
      <c r="F32" s="14"/>
      <c r="G32" s="14"/>
    </row>
    <row r="33" spans="4:7" x14ac:dyDescent="0.2">
      <c r="D33" s="14"/>
      <c r="E33" s="14"/>
      <c r="F33" s="14"/>
      <c r="G33" s="14"/>
    </row>
    <row r="53" spans="26:30" ht="15.75" customHeight="1" x14ac:dyDescent="0.2"/>
    <row r="59" spans="26:30" x14ac:dyDescent="0.2">
      <c r="Z59" s="20"/>
      <c r="AA59" s="20"/>
      <c r="AB59" s="20"/>
      <c r="AC59" s="20"/>
      <c r="AD59" s="20"/>
    </row>
    <row r="65" spans="2:30" s="20" customFormat="1" x14ac:dyDescent="0.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sheetData>
  <sheetProtection sheet="1" sort="0" autoFilter="0"/>
  <mergeCells count="1">
    <mergeCell ref="B1:C1"/>
  </mergeCells>
  <phoneticPr fontId="7" type="noConversion"/>
  <conditionalFormatting sqref="C10:C24">
    <cfRule type="expression" dxfId="180" priority="5">
      <formula>$E10="4. Kvalitativ, ej mätbar"</formula>
    </cfRule>
    <cfRule type="expression" dxfId="179" priority="6">
      <formula>$E10="3. Kvalitativ, mätbar"</formula>
    </cfRule>
  </conditionalFormatting>
  <conditionalFormatting sqref="D10:D24">
    <cfRule type="expression" dxfId="178" priority="3">
      <formula>$E10="4. Kvalitativ, ej mätbar"</formula>
    </cfRule>
    <cfRule type="expression" dxfId="177" priority="4">
      <formula>$E10="3. Kvalitativ, mätbar"</formula>
    </cfRule>
  </conditionalFormatting>
  <conditionalFormatting sqref="E10:E24">
    <cfRule type="expression" dxfId="176" priority="1">
      <formula>$E10="4. Kvalitativ, ej mätbar"</formula>
    </cfRule>
    <cfRule type="expression" dxfId="175" priority="2">
      <formula>$E10="3. Kvalitativ, mätbar"</formula>
    </cfRule>
  </conditionalFormatting>
  <pageMargins left="0.7" right="0.7" top="0.75" bottom="0.75" header="0.3" footer="0.3"/>
  <pageSetup paperSize="9"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4"/>
  </sheetPr>
  <dimension ref="A1:TP1904"/>
  <sheetViews>
    <sheetView showGridLines="0" showZeros="0" tabSelected="1" zoomScale="60" zoomScaleNormal="60" workbookViewId="0">
      <pane ySplit="4" topLeftCell="A5" activePane="bottomLeft" state="frozen"/>
      <selection pane="bottomLeft" activeCell="R38" sqref="R38"/>
    </sheetView>
  </sheetViews>
  <sheetFormatPr defaultRowHeight="20.100000000000001" customHeight="1" x14ac:dyDescent="0.2"/>
  <cols>
    <col min="1" max="1" width="1.85546875" style="2" customWidth="1"/>
    <col min="2" max="2" width="3.28515625" style="2" customWidth="1"/>
    <col min="3" max="3" width="91.5703125" style="2" bestFit="1" customWidth="1"/>
    <col min="4" max="4" width="24.140625" style="2" bestFit="1" customWidth="1"/>
    <col min="5" max="5" width="19.42578125" style="2" bestFit="1" customWidth="1"/>
    <col min="6" max="10" width="20.7109375" style="2" customWidth="1"/>
    <col min="11" max="11" width="7" style="2" customWidth="1"/>
    <col min="12" max="18" width="20.7109375" style="2" customWidth="1"/>
    <col min="19" max="19" width="20.7109375" style="5" customWidth="1"/>
    <col min="20" max="20" width="29" style="2" bestFit="1" customWidth="1"/>
    <col min="21" max="21" width="8.7109375" style="31" bestFit="1" customWidth="1"/>
    <col min="22" max="22" width="18.7109375" style="31" bestFit="1" customWidth="1"/>
    <col min="23" max="23" width="22" style="31" bestFit="1" customWidth="1"/>
    <col min="24" max="24" width="24.42578125" style="31" bestFit="1" customWidth="1"/>
    <col min="25" max="25" width="18.7109375" style="31" bestFit="1" customWidth="1"/>
    <col min="26" max="27" width="20.42578125" style="31" bestFit="1" customWidth="1"/>
    <col min="28" max="28" width="15.28515625" style="2" bestFit="1" customWidth="1"/>
    <col min="29" max="29" width="17" style="2" bestFit="1" customWidth="1"/>
    <col min="30" max="30" width="72.7109375" style="2" bestFit="1" customWidth="1"/>
    <col min="31" max="31" width="88.7109375" style="2" bestFit="1" customWidth="1"/>
    <col min="32" max="32" width="95.140625" style="2" bestFit="1" customWidth="1"/>
    <col min="33" max="33" width="108.7109375" style="2" bestFit="1" customWidth="1"/>
    <col min="34" max="34" width="118" style="2" bestFit="1" customWidth="1"/>
    <col min="35" max="36" width="31.28515625" style="2" bestFit="1" customWidth="1"/>
    <col min="37" max="16384" width="9.140625" style="2"/>
  </cols>
  <sheetData>
    <row r="1" spans="2:40" s="79" customFormat="1" ht="43.5" customHeight="1" x14ac:dyDescent="0.2">
      <c r="B1" s="82" t="s">
        <v>49</v>
      </c>
    </row>
    <row r="2" spans="2:40" s="11" customFormat="1" ht="23.25" x14ac:dyDescent="0.2">
      <c r="B2" s="83" t="str">
        <f>IF(Försättsblad!C6=0,"",Försättsblad!C6)</f>
        <v>Möjlighet till elektoronisk identifiering av de som ringer 1177</v>
      </c>
      <c r="G2" s="12"/>
      <c r="H2" s="13"/>
      <c r="I2" s="13"/>
      <c r="J2" s="13"/>
      <c r="K2" s="13"/>
      <c r="L2" s="13"/>
      <c r="M2" s="13"/>
      <c r="N2" s="13"/>
      <c r="O2" s="13"/>
      <c r="P2" s="13"/>
      <c r="Q2" s="13"/>
      <c r="R2" s="13"/>
      <c r="T2" s="13"/>
    </row>
    <row r="3" spans="2:40" s="80" customFormat="1" ht="19.5" customHeight="1" x14ac:dyDescent="0.2">
      <c r="D3" s="84"/>
    </row>
    <row r="4" spans="2:40" s="80" customFormat="1" ht="19.5" customHeight="1" x14ac:dyDescent="0.2">
      <c r="B4" s="285" t="s">
        <v>130</v>
      </c>
      <c r="C4" s="286"/>
      <c r="D4" s="84"/>
    </row>
    <row r="5" spans="2:40" s="80" customFormat="1" ht="19.5" customHeight="1" x14ac:dyDescent="0.2">
      <c r="D5" s="84"/>
    </row>
    <row r="6" spans="2:40" s="269" customFormat="1" ht="24" thickBot="1" x14ac:dyDescent="0.25">
      <c r="C6" s="282" t="s">
        <v>129</v>
      </c>
      <c r="D6" s="270"/>
      <c r="E6" s="201"/>
      <c r="F6" s="201"/>
      <c r="G6" s="201"/>
      <c r="H6" s="201"/>
      <c r="I6" s="201"/>
      <c r="J6" s="201"/>
      <c r="K6" s="201"/>
      <c r="L6" s="201"/>
      <c r="M6" s="201"/>
      <c r="N6" s="201"/>
      <c r="O6" s="201"/>
      <c r="P6" s="201"/>
      <c r="Q6" s="201"/>
    </row>
    <row r="7" spans="2:40" s="269" customFormat="1" ht="21" thickTop="1" x14ac:dyDescent="0.2">
      <c r="C7" s="201"/>
      <c r="E7" s="201"/>
      <c r="F7" s="201"/>
      <c r="G7" s="201"/>
      <c r="H7" s="201"/>
      <c r="I7" s="201"/>
      <c r="J7" s="201"/>
      <c r="K7" s="201"/>
      <c r="L7" s="201"/>
      <c r="M7" s="201"/>
      <c r="N7" s="201"/>
      <c r="O7" s="201"/>
      <c r="P7" s="201"/>
      <c r="Q7" s="201"/>
    </row>
    <row r="8" spans="2:40" s="269" customFormat="1" ht="21" thickBot="1" x14ac:dyDescent="0.25">
      <c r="C8" s="271" t="s">
        <v>108</v>
      </c>
      <c r="D8" s="270"/>
      <c r="E8" s="201"/>
      <c r="F8" s="201"/>
      <c r="G8" s="201"/>
      <c r="H8" s="201"/>
      <c r="I8" s="201"/>
      <c r="J8" s="201"/>
      <c r="K8" s="201"/>
      <c r="L8" s="201"/>
      <c r="M8" s="201"/>
      <c r="N8" s="201"/>
      <c r="O8" s="201"/>
      <c r="P8" s="201"/>
      <c r="Q8" s="201"/>
    </row>
    <row r="9" spans="2:40" ht="20.100000000000001" customHeight="1" thickTop="1" x14ac:dyDescent="0.2">
      <c r="T9" s="5"/>
      <c r="U9" s="5"/>
      <c r="V9" s="5"/>
      <c r="W9" s="5"/>
      <c r="X9" s="5"/>
      <c r="Y9" s="5"/>
      <c r="Z9" s="5"/>
      <c r="AA9" s="5"/>
      <c r="AB9" s="15"/>
      <c r="AC9" s="15"/>
      <c r="AD9" s="15"/>
      <c r="AE9" s="15"/>
      <c r="AF9" s="15"/>
      <c r="AG9" s="15"/>
    </row>
    <row r="10" spans="2:40" ht="20.25" x14ac:dyDescent="0.2">
      <c r="I10" s="15"/>
      <c r="J10" s="15"/>
      <c r="M10"/>
      <c r="N10"/>
      <c r="O10"/>
      <c r="P10"/>
      <c r="Q10"/>
      <c r="T10" s="5"/>
      <c r="U10" s="5"/>
      <c r="V10" s="5"/>
      <c r="W10" s="5"/>
      <c r="X10" s="5"/>
      <c r="Y10" s="5"/>
      <c r="Z10" s="5"/>
      <c r="AA10" s="5"/>
      <c r="AB10" s="15"/>
      <c r="AC10" s="15"/>
      <c r="AD10" s="15"/>
      <c r="AE10" s="15"/>
      <c r="AF10" s="15"/>
      <c r="AG10" s="15"/>
    </row>
    <row r="11" spans="2:40" ht="20.25" x14ac:dyDescent="0.2">
      <c r="I11"/>
      <c r="J11"/>
      <c r="K11"/>
      <c r="L11"/>
      <c r="M11"/>
      <c r="O11" s="5"/>
      <c r="P11" s="5"/>
      <c r="Q11" s="5"/>
      <c r="R11" s="5"/>
      <c r="T11" s="5"/>
      <c r="U11" s="5"/>
      <c r="V11" s="5"/>
      <c r="W11" s="5"/>
      <c r="X11" s="15"/>
      <c r="Y11" s="15"/>
      <c r="Z11" s="15"/>
      <c r="AA11" s="15"/>
      <c r="AB11" s="15"/>
      <c r="AC11" s="15"/>
      <c r="AD11" s="15"/>
      <c r="AE11" s="15"/>
      <c r="AF11" s="15"/>
      <c r="AG11" s="15"/>
      <c r="AH11" s="15"/>
      <c r="AI11" s="15"/>
      <c r="AJ11" s="15"/>
      <c r="AK11" s="15"/>
      <c r="AL11" s="15"/>
      <c r="AM11" s="15"/>
      <c r="AN11" s="15"/>
    </row>
    <row r="12" spans="2:40" ht="20.25" x14ac:dyDescent="0.2">
      <c r="I12"/>
      <c r="J12"/>
      <c r="K12"/>
      <c r="L12"/>
      <c r="M12"/>
      <c r="O12" s="5"/>
      <c r="P12" s="5"/>
      <c r="Q12" s="5"/>
      <c r="R12" s="5"/>
      <c r="T12" s="5"/>
      <c r="U12" s="5"/>
      <c r="V12" s="5"/>
      <c r="W12" s="5"/>
      <c r="X12" s="2"/>
      <c r="Y12" s="2"/>
      <c r="Z12" s="5"/>
      <c r="AA12" s="5"/>
      <c r="AB12" s="5"/>
      <c r="AC12" s="5"/>
      <c r="AF12" s="5"/>
      <c r="AG12" s="15"/>
      <c r="AH12" s="15"/>
      <c r="AI12" s="15"/>
      <c r="AJ12" s="15"/>
      <c r="AK12" s="15"/>
      <c r="AL12" s="15"/>
      <c r="AM12" s="15"/>
      <c r="AN12" s="15"/>
    </row>
    <row r="13" spans="2:40" ht="20.25" x14ac:dyDescent="0.3">
      <c r="I13"/>
      <c r="J13"/>
      <c r="K13"/>
      <c r="L13"/>
      <c r="M13"/>
      <c r="O13" s="5"/>
      <c r="P13" s="5"/>
      <c r="Q13" s="16"/>
      <c r="R13" s="30"/>
      <c r="T13" s="30"/>
      <c r="U13" s="5"/>
      <c r="V13" s="5"/>
      <c r="W13" s="5"/>
      <c r="X13" s="2"/>
      <c r="Y13" s="2"/>
      <c r="Z13" s="5"/>
      <c r="AA13" s="5"/>
      <c r="AB13" s="5"/>
      <c r="AC13" s="5"/>
      <c r="AF13" s="5"/>
      <c r="AG13" s="15"/>
      <c r="AH13" s="15"/>
      <c r="AI13" s="15"/>
      <c r="AJ13" s="15"/>
      <c r="AK13" s="15"/>
      <c r="AL13" s="15"/>
      <c r="AM13" s="15"/>
      <c r="AN13" s="15"/>
    </row>
    <row r="14" spans="2:40" ht="20.25" x14ac:dyDescent="0.3">
      <c r="I14"/>
      <c r="J14"/>
      <c r="K14"/>
      <c r="L14"/>
      <c r="M14"/>
      <c r="O14" s="5"/>
      <c r="P14" s="5"/>
      <c r="Q14" s="16"/>
      <c r="R14" s="30"/>
      <c r="S14"/>
      <c r="T14" s="30"/>
      <c r="U14" s="5"/>
      <c r="V14" s="5"/>
      <c r="W14" s="5"/>
      <c r="X14" s="2"/>
      <c r="Y14" s="2"/>
      <c r="Z14" s="5"/>
      <c r="AA14" s="5"/>
      <c r="AB14" s="5"/>
      <c r="AC14" s="5"/>
      <c r="AF14" s="5"/>
      <c r="AG14" s="15"/>
      <c r="AH14" s="15"/>
      <c r="AI14" s="15"/>
      <c r="AJ14" s="15"/>
      <c r="AK14" s="15"/>
      <c r="AL14" s="15"/>
      <c r="AM14" s="15"/>
      <c r="AN14" s="15"/>
    </row>
    <row r="15" spans="2:40" ht="20.25" x14ac:dyDescent="0.3">
      <c r="I15"/>
      <c r="J15"/>
      <c r="K15"/>
      <c r="L15"/>
      <c r="M15"/>
      <c r="O15" s="5"/>
      <c r="P15" s="5"/>
      <c r="Q15" s="16"/>
      <c r="R15" s="30"/>
      <c r="S15"/>
      <c r="T15" s="30"/>
      <c r="U15" s="5"/>
      <c r="V15" s="5"/>
      <c r="W15" s="5"/>
      <c r="X15" s="2"/>
      <c r="Y15" s="2"/>
      <c r="Z15" s="5"/>
      <c r="AA15" s="5"/>
      <c r="AB15" s="5"/>
      <c r="AC15" s="5"/>
      <c r="AF15" s="5"/>
      <c r="AG15" s="15"/>
      <c r="AH15" s="15"/>
      <c r="AI15" s="15"/>
      <c r="AJ15" s="15"/>
      <c r="AK15" s="15"/>
      <c r="AL15" s="15"/>
      <c r="AM15" s="15"/>
      <c r="AN15" s="15"/>
    </row>
    <row r="16" spans="2:40" ht="20.25" x14ac:dyDescent="0.3">
      <c r="I16"/>
      <c r="J16"/>
      <c r="K16"/>
      <c r="L16"/>
      <c r="M16"/>
      <c r="O16" s="5"/>
      <c r="P16" s="5"/>
      <c r="Q16" s="16"/>
      <c r="R16" s="30"/>
      <c r="S16"/>
      <c r="T16" s="30"/>
      <c r="U16" s="5"/>
      <c r="V16" s="5"/>
      <c r="W16" s="5"/>
      <c r="X16" s="2"/>
      <c r="Y16" s="2"/>
      <c r="Z16" s="5"/>
      <c r="AA16" s="5"/>
      <c r="AB16" s="5"/>
      <c r="AC16" s="5"/>
      <c r="AF16" s="5"/>
      <c r="AG16" s="15"/>
      <c r="AH16" s="15"/>
      <c r="AI16" s="15"/>
      <c r="AJ16" s="15"/>
      <c r="AK16" s="15"/>
      <c r="AL16" s="15"/>
      <c r="AM16" s="15"/>
      <c r="AN16" s="15"/>
    </row>
    <row r="17" spans="8:44" ht="20.25" x14ac:dyDescent="0.3">
      <c r="I17"/>
      <c r="J17"/>
      <c r="K17"/>
      <c r="L17"/>
      <c r="M17"/>
      <c r="O17" s="5"/>
      <c r="P17" s="5"/>
      <c r="Q17" s="16"/>
      <c r="R17" s="30"/>
      <c r="S17"/>
      <c r="T17" s="30"/>
      <c r="U17" s="5"/>
      <c r="V17" s="5"/>
      <c r="W17" s="5"/>
      <c r="X17" s="2"/>
      <c r="Y17" s="2"/>
      <c r="Z17" s="5"/>
      <c r="AA17" s="5"/>
      <c r="AB17" s="5"/>
      <c r="AC17" s="5"/>
      <c r="AF17" s="5"/>
      <c r="AG17" s="15"/>
      <c r="AH17" s="15"/>
      <c r="AI17" s="15"/>
      <c r="AJ17" s="15"/>
      <c r="AK17" s="15"/>
      <c r="AL17" s="15"/>
      <c r="AM17" s="15"/>
      <c r="AN17" s="15"/>
    </row>
    <row r="18" spans="8:44" ht="20.25" x14ac:dyDescent="0.3">
      <c r="I18"/>
      <c r="J18"/>
      <c r="K18"/>
      <c r="L18"/>
      <c r="M18"/>
      <c r="O18" s="5"/>
      <c r="P18" s="5"/>
      <c r="Q18" s="16"/>
      <c r="R18" s="30"/>
      <c r="S18"/>
      <c r="T18" s="30"/>
      <c r="U18" s="5"/>
      <c r="V18" s="5"/>
      <c r="W18" s="5"/>
      <c r="X18" s="2"/>
      <c r="Y18" s="2"/>
      <c r="Z18" s="5"/>
      <c r="AA18" s="5"/>
      <c r="AB18" s="5"/>
      <c r="AC18" s="5"/>
      <c r="AD18" s="5"/>
      <c r="AE18" s="5"/>
      <c r="AF18" s="5"/>
      <c r="AG18" s="15"/>
      <c r="AH18" s="15"/>
      <c r="AI18" s="15"/>
      <c r="AJ18" s="15"/>
      <c r="AK18" s="15"/>
      <c r="AL18" s="15"/>
      <c r="AM18" s="15"/>
      <c r="AN18" s="15"/>
    </row>
    <row r="19" spans="8:44" ht="20.25" x14ac:dyDescent="0.3">
      <c r="I19"/>
      <c r="O19" s="5"/>
      <c r="P19" s="5"/>
      <c r="Q19" s="16"/>
      <c r="R19" s="30"/>
      <c r="S19"/>
      <c r="T19" s="30"/>
      <c r="U19" s="5"/>
      <c r="V19" s="5"/>
      <c r="W19" s="5"/>
      <c r="X19" s="2"/>
      <c r="Y19" s="2"/>
      <c r="Z19" s="15"/>
      <c r="AA19" s="15"/>
      <c r="AB19" s="15"/>
      <c r="AC19" s="15"/>
      <c r="AD19" s="15"/>
      <c r="AE19" s="15"/>
      <c r="AF19" s="15"/>
      <c r="AG19" s="15"/>
      <c r="AH19" s="15"/>
      <c r="AI19" s="15"/>
      <c r="AJ19" s="15"/>
      <c r="AK19" s="15"/>
      <c r="AL19" s="15"/>
      <c r="AM19" s="15"/>
      <c r="AN19" s="15"/>
    </row>
    <row r="20" spans="8:44" ht="20.25" x14ac:dyDescent="0.3">
      <c r="O20" s="5"/>
      <c r="P20"/>
      <c r="Q20" s="16"/>
      <c r="R20" s="30"/>
      <c r="S20"/>
      <c r="T20" s="30"/>
      <c r="U20" s="5"/>
      <c r="V20" s="5"/>
      <c r="W20" s="5"/>
      <c r="X20" s="2"/>
      <c r="Y20" s="2"/>
      <c r="Z20" s="15"/>
      <c r="AA20" s="15"/>
      <c r="AB20" s="15"/>
      <c r="AC20" s="15"/>
      <c r="AD20" s="15"/>
      <c r="AE20" s="15"/>
      <c r="AF20" s="15"/>
      <c r="AG20" s="15"/>
      <c r="AH20" s="15"/>
      <c r="AI20" s="15"/>
      <c r="AJ20" s="15"/>
      <c r="AK20" s="15"/>
      <c r="AL20" s="15"/>
      <c r="AM20" s="15"/>
      <c r="AN20" s="15"/>
    </row>
    <row r="21" spans="8:44" ht="20.25" x14ac:dyDescent="0.3">
      <c r="O21" s="5"/>
      <c r="P21"/>
      <c r="Q21" s="16"/>
      <c r="R21" s="30"/>
      <c r="S21"/>
      <c r="T21" s="30"/>
      <c r="U21" s="5"/>
      <c r="V21" s="5"/>
      <c r="W21" s="5"/>
      <c r="X21" s="2"/>
      <c r="Y21" s="2"/>
      <c r="Z21" s="15"/>
      <c r="AA21" s="15"/>
      <c r="AB21" s="15"/>
      <c r="AC21" s="15"/>
      <c r="AD21" s="15"/>
      <c r="AE21" s="15"/>
      <c r="AF21" s="15"/>
      <c r="AG21" s="15"/>
      <c r="AH21" s="15"/>
      <c r="AI21" s="15"/>
      <c r="AJ21" s="15"/>
      <c r="AK21" s="15"/>
      <c r="AL21" s="15"/>
      <c r="AM21" s="15"/>
      <c r="AN21" s="15"/>
    </row>
    <row r="22" spans="8:44" ht="20.100000000000001" customHeight="1" x14ac:dyDescent="0.3">
      <c r="O22" s="5"/>
      <c r="P22"/>
      <c r="Q22" s="16"/>
      <c r="R22" s="30"/>
      <c r="S22"/>
      <c r="T22" s="30"/>
      <c r="U22" s="5"/>
      <c r="V22" s="5"/>
      <c r="W22" s="5"/>
      <c r="X22" s="16"/>
      <c r="Y22" s="16"/>
      <c r="Z22" s="15"/>
      <c r="AA22" s="15"/>
      <c r="AB22" s="15"/>
      <c r="AC22" s="15"/>
      <c r="AD22" s="15"/>
      <c r="AE22" s="15"/>
      <c r="AF22" s="15"/>
      <c r="AG22" s="15"/>
      <c r="AH22" s="15"/>
      <c r="AI22" s="15"/>
      <c r="AJ22" s="15"/>
      <c r="AK22" s="15"/>
      <c r="AL22" s="15"/>
      <c r="AM22" s="15"/>
      <c r="AN22" s="15"/>
    </row>
    <row r="23" spans="8:44" ht="20.100000000000001" customHeight="1" x14ac:dyDescent="0.3">
      <c r="O23" s="5"/>
      <c r="P23" s="5"/>
      <c r="Q23" s="16"/>
      <c r="R23" s="30"/>
      <c r="S23"/>
      <c r="T23" s="30"/>
      <c r="U23" s="5"/>
      <c r="V23" s="5"/>
      <c r="W23" s="5"/>
      <c r="X23" s="16"/>
      <c r="Y23" s="16"/>
      <c r="Z23" s="15"/>
      <c r="AA23" s="15"/>
      <c r="AB23" s="15"/>
      <c r="AC23" s="15"/>
      <c r="AD23" s="15"/>
      <c r="AE23" s="15"/>
      <c r="AF23" s="15"/>
      <c r="AG23" s="15"/>
      <c r="AH23" s="15"/>
      <c r="AI23" s="15"/>
      <c r="AJ23" s="15"/>
      <c r="AK23" s="15"/>
      <c r="AL23" s="15"/>
      <c r="AM23" s="15"/>
      <c r="AN23" s="15"/>
    </row>
    <row r="24" spans="8:44" ht="20.100000000000001" customHeight="1" x14ac:dyDescent="0.3">
      <c r="O24" s="5"/>
      <c r="P24" s="5"/>
      <c r="Q24" s="16"/>
      <c r="R24" s="30"/>
      <c r="S24"/>
      <c r="T24" s="30"/>
      <c r="U24" s="5"/>
      <c r="V24" s="5"/>
      <c r="W24" s="5"/>
      <c r="X24" s="16"/>
      <c r="Y24" s="16"/>
      <c r="Z24" s="15"/>
      <c r="AA24" s="15"/>
      <c r="AB24" s="15"/>
      <c r="AC24" s="15"/>
      <c r="AD24" s="15"/>
      <c r="AE24" s="15"/>
      <c r="AF24" s="15"/>
      <c r="AG24" s="15"/>
      <c r="AH24" s="15"/>
      <c r="AI24" s="15"/>
      <c r="AJ24" s="15"/>
      <c r="AK24" s="15"/>
      <c r="AL24" s="15"/>
      <c r="AM24" s="15"/>
      <c r="AN24" s="15"/>
    </row>
    <row r="25" spans="8:44" s="3" customFormat="1" ht="20.100000000000001" customHeight="1" x14ac:dyDescent="0.3">
      <c r="H25" s="2"/>
      <c r="I25" s="15"/>
      <c r="J25" s="15"/>
      <c r="K25" s="2"/>
      <c r="Q25" s="16"/>
      <c r="R25" s="30"/>
      <c r="S25"/>
      <c r="T25" s="30"/>
      <c r="U25" s="16"/>
      <c r="V25" s="30"/>
      <c r="W25"/>
      <c r="X25" s="30"/>
      <c r="Y25" s="5"/>
      <c r="Z25" s="5"/>
      <c r="AA25" s="5"/>
      <c r="AB25" s="16"/>
      <c r="AC25" s="16"/>
      <c r="AD25" s="15"/>
      <c r="AE25" s="15"/>
      <c r="AF25" s="15"/>
      <c r="AG25" s="15"/>
      <c r="AH25" s="15"/>
      <c r="AI25" s="15"/>
      <c r="AJ25" s="15"/>
      <c r="AK25" s="15"/>
      <c r="AL25" s="15"/>
      <c r="AM25" s="15"/>
      <c r="AN25" s="15"/>
      <c r="AO25" s="15"/>
      <c r="AP25" s="15"/>
      <c r="AQ25" s="15"/>
      <c r="AR25" s="15"/>
    </row>
    <row r="26" spans="8:44" ht="20.100000000000001" customHeight="1" x14ac:dyDescent="0.3">
      <c r="U26" s="16"/>
      <c r="V26" s="30"/>
      <c r="W26"/>
      <c r="X26" s="30"/>
      <c r="Y26" s="5"/>
      <c r="Z26" s="5"/>
      <c r="AA26" s="5"/>
      <c r="AB26" s="16"/>
      <c r="AC26" s="16"/>
      <c r="AD26" s="15"/>
      <c r="AE26" s="15"/>
      <c r="AF26" s="15"/>
      <c r="AG26" s="15"/>
      <c r="AH26" s="15"/>
      <c r="AI26" s="15"/>
      <c r="AJ26" s="15"/>
      <c r="AK26" s="15"/>
      <c r="AL26" s="15"/>
      <c r="AM26" s="15"/>
      <c r="AN26" s="15"/>
      <c r="AO26" s="15"/>
      <c r="AP26" s="15"/>
      <c r="AQ26" s="15"/>
      <c r="AR26" s="15"/>
    </row>
    <row r="27" spans="8:44" ht="20.100000000000001" customHeight="1" x14ac:dyDescent="0.3">
      <c r="U27" s="16"/>
      <c r="V27" s="30"/>
      <c r="W27"/>
      <c r="X27" s="30"/>
      <c r="Y27" s="5"/>
      <c r="Z27" s="5"/>
      <c r="AA27" s="5"/>
      <c r="AB27" s="16"/>
      <c r="AC27" s="16"/>
      <c r="AD27" s="15"/>
      <c r="AE27" s="15"/>
      <c r="AF27" s="15"/>
      <c r="AG27" s="15"/>
      <c r="AH27" s="15"/>
      <c r="AI27" s="15"/>
      <c r="AJ27" s="15"/>
      <c r="AK27" s="15"/>
      <c r="AL27" s="15"/>
      <c r="AM27" s="15"/>
      <c r="AN27" s="15"/>
      <c r="AO27" s="15"/>
      <c r="AP27" s="15"/>
      <c r="AQ27" s="15"/>
      <c r="AR27" s="15"/>
    </row>
    <row r="28" spans="8:44" ht="20.100000000000001" customHeight="1" x14ac:dyDescent="0.3">
      <c r="T28" s="281"/>
      <c r="U28" s="16"/>
      <c r="V28" s="30"/>
      <c r="W28"/>
      <c r="X28" s="5"/>
      <c r="Y28" s="5"/>
      <c r="Z28" s="5"/>
      <c r="AA28" s="5"/>
      <c r="AB28" s="16"/>
      <c r="AC28" s="16"/>
      <c r="AD28" s="15"/>
      <c r="AE28" s="15"/>
      <c r="AF28" s="15"/>
      <c r="AG28" s="15"/>
      <c r="AH28" s="15"/>
      <c r="AI28" s="15"/>
      <c r="AJ28" s="15"/>
      <c r="AK28" s="15"/>
      <c r="AL28" s="15"/>
      <c r="AM28" s="15"/>
      <c r="AN28" s="15"/>
      <c r="AO28" s="15"/>
      <c r="AP28" s="15"/>
      <c r="AQ28" s="15"/>
      <c r="AR28" s="15"/>
    </row>
    <row r="29" spans="8:44" ht="20.100000000000001" customHeight="1" x14ac:dyDescent="0.3">
      <c r="U29" s="16"/>
      <c r="V29" s="30"/>
      <c r="W29"/>
      <c r="X29" s="5"/>
      <c r="Y29" s="5"/>
      <c r="Z29" s="5"/>
      <c r="AA29" s="5"/>
      <c r="AB29" s="16"/>
      <c r="AC29" s="16"/>
      <c r="AD29" s="15"/>
      <c r="AE29" s="15"/>
      <c r="AF29" s="15"/>
      <c r="AG29" s="15"/>
      <c r="AH29" s="15"/>
      <c r="AI29" s="15"/>
      <c r="AJ29" s="15"/>
      <c r="AK29" s="15"/>
      <c r="AL29" s="15"/>
      <c r="AM29" s="15"/>
      <c r="AN29" s="15"/>
      <c r="AO29" s="15"/>
      <c r="AP29" s="15"/>
      <c r="AQ29" s="15"/>
      <c r="AR29" s="15"/>
    </row>
    <row r="30" spans="8:44" ht="20.100000000000001" customHeight="1" x14ac:dyDescent="0.3">
      <c r="U30" s="16"/>
      <c r="V30" s="30"/>
      <c r="W30"/>
      <c r="X30" s="5"/>
      <c r="Y30" s="5"/>
      <c r="Z30" s="5"/>
      <c r="AA30" s="5"/>
      <c r="AB30" s="15"/>
      <c r="AC30" s="15"/>
      <c r="AD30" s="15"/>
      <c r="AE30" s="15"/>
      <c r="AF30" s="15"/>
      <c r="AG30" s="15"/>
      <c r="AH30" s="15"/>
      <c r="AI30" s="15"/>
      <c r="AJ30" s="15"/>
      <c r="AK30" s="15"/>
      <c r="AL30" s="15"/>
      <c r="AM30" s="15"/>
      <c r="AN30" s="15"/>
      <c r="AO30" s="15"/>
      <c r="AP30" s="15"/>
      <c r="AQ30" s="15"/>
      <c r="AR30" s="15"/>
    </row>
    <row r="31" spans="8:44" ht="20.100000000000001" customHeight="1" x14ac:dyDescent="0.3">
      <c r="U31" s="16"/>
      <c r="V31" s="30"/>
      <c r="W31"/>
      <c r="X31" s="2"/>
      <c r="Y31" s="2"/>
      <c r="Z31" s="2"/>
      <c r="AA31" s="2"/>
      <c r="AB31" s="15"/>
      <c r="AC31" s="15"/>
      <c r="AD31" s="15"/>
      <c r="AE31" s="15"/>
      <c r="AF31" s="15"/>
      <c r="AG31" s="15"/>
      <c r="AH31" s="15"/>
      <c r="AI31" s="15"/>
      <c r="AJ31" s="15"/>
      <c r="AK31" s="15"/>
      <c r="AL31" s="15"/>
      <c r="AM31" s="15"/>
      <c r="AN31" s="15"/>
      <c r="AO31" s="15"/>
      <c r="AP31" s="15"/>
      <c r="AQ31" s="15"/>
      <c r="AR31" s="15"/>
    </row>
    <row r="32" spans="8:44" ht="20.100000000000001" customHeight="1" x14ac:dyDescent="0.3">
      <c r="U32" s="16"/>
      <c r="V32" s="30"/>
      <c r="W32"/>
      <c r="X32" s="2"/>
      <c r="Y32" s="2"/>
      <c r="Z32" s="2"/>
      <c r="AA32" s="2"/>
      <c r="AB32" s="15"/>
      <c r="AC32" s="15"/>
      <c r="AD32" s="15"/>
      <c r="AE32" s="15"/>
      <c r="AF32" s="15"/>
      <c r="AG32" s="15"/>
      <c r="AH32" s="15"/>
      <c r="AI32" s="15"/>
      <c r="AJ32" s="15"/>
      <c r="AK32" s="15"/>
      <c r="AL32" s="15"/>
      <c r="AM32" s="15"/>
      <c r="AN32" s="15"/>
      <c r="AO32" s="15"/>
      <c r="AP32" s="15"/>
      <c r="AQ32" s="15"/>
      <c r="AR32" s="15"/>
    </row>
    <row r="33" spans="3:536" ht="20.25" x14ac:dyDescent="0.3">
      <c r="U33" s="16"/>
      <c r="V33" s="30"/>
      <c r="W33"/>
      <c r="X33" s="2"/>
      <c r="Y33" s="2"/>
      <c r="Z33" s="2"/>
      <c r="AA33" s="2"/>
      <c r="AB33" s="15"/>
      <c r="AC33" s="15"/>
      <c r="AD33" s="15"/>
      <c r="AE33" s="15"/>
      <c r="AF33" s="15"/>
      <c r="AG33" s="15"/>
      <c r="AH33" s="15"/>
      <c r="AI33" s="15"/>
      <c r="AJ33" s="15"/>
      <c r="AK33" s="15"/>
      <c r="AL33" s="15"/>
      <c r="AM33" s="15"/>
      <c r="AN33" s="15"/>
      <c r="AO33" s="15"/>
      <c r="AP33" s="15"/>
      <c r="AQ33" s="15"/>
      <c r="AR33" s="15"/>
    </row>
    <row r="34" spans="3:536" ht="20.25" x14ac:dyDescent="0.3">
      <c r="H34" s="32"/>
      <c r="I34" s="32"/>
      <c r="J34" s="32"/>
      <c r="K34" s="32"/>
      <c r="L34" s="32"/>
      <c r="M34" s="32"/>
      <c r="N34" s="32"/>
      <c r="O34" s="32"/>
      <c r="P34" s="32"/>
      <c r="Q34" s="32"/>
      <c r="R34" s="32"/>
      <c r="S34" s="194"/>
      <c r="T34" s="32"/>
      <c r="U34" s="261"/>
      <c r="V34" s="262"/>
      <c r="W34" s="1"/>
      <c r="X34" s="32"/>
      <c r="Y34" s="32"/>
      <c r="Z34" s="32"/>
      <c r="AA34" s="32"/>
      <c r="AB34" s="263"/>
      <c r="AC34" s="263"/>
      <c r="AD34" s="263"/>
      <c r="AE34" s="263"/>
      <c r="AF34" s="263"/>
      <c r="AG34" s="263"/>
      <c r="AH34" s="263"/>
      <c r="AI34" s="263"/>
      <c r="AJ34" s="263"/>
      <c r="AK34" s="263"/>
      <c r="AL34" s="263"/>
      <c r="AM34" s="263"/>
      <c r="AN34" s="263"/>
      <c r="AO34" s="263"/>
      <c r="AP34" s="263"/>
      <c r="AQ34" s="263"/>
      <c r="AR34" s="263"/>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row>
    <row r="35" spans="3:536" ht="20.25" x14ac:dyDescent="0.3">
      <c r="U35" s="16"/>
      <c r="V35" s="30"/>
      <c r="W35"/>
      <c r="X35" s="2"/>
      <c r="Y35" s="2"/>
      <c r="Z35" s="2"/>
      <c r="AA35" s="2"/>
    </row>
    <row r="36" spans="3:536" ht="20.25" x14ac:dyDescent="0.3">
      <c r="R36" s="2">
        <f>Admin!U69</f>
        <v>0</v>
      </c>
      <c r="U36" s="16"/>
      <c r="V36" s="30"/>
      <c r="W36"/>
      <c r="X36" s="2"/>
      <c r="Y36" s="2"/>
      <c r="Z36" s="2"/>
      <c r="AA36" s="2"/>
    </row>
    <row r="37" spans="3:536" ht="20.25" x14ac:dyDescent="0.3">
      <c r="U37" s="16"/>
      <c r="V37" s="30"/>
      <c r="W37"/>
      <c r="X37" s="2"/>
      <c r="Y37" s="2"/>
      <c r="Z37" s="2"/>
      <c r="AA37" s="2"/>
    </row>
    <row r="38" spans="3:536" ht="20.25" x14ac:dyDescent="0.3">
      <c r="U38" s="16"/>
      <c r="V38" s="30"/>
      <c r="W38"/>
      <c r="X38" s="2"/>
      <c r="Y38" s="2"/>
      <c r="Z38" s="2"/>
      <c r="AA38" s="2"/>
    </row>
    <row r="39" spans="3:536" ht="20.25" x14ac:dyDescent="0.3">
      <c r="U39" s="16"/>
      <c r="V39" s="30"/>
      <c r="W39"/>
      <c r="X39" s="2"/>
      <c r="Y39" s="2"/>
      <c r="Z39" s="2"/>
      <c r="AA39" s="2"/>
    </row>
    <row r="40" spans="3:536" ht="20.25" x14ac:dyDescent="0.3">
      <c r="U40" s="16"/>
      <c r="V40" s="30"/>
      <c r="W40"/>
      <c r="X40" s="2"/>
      <c r="Y40" s="2"/>
      <c r="Z40" s="2"/>
      <c r="AA40" s="2"/>
    </row>
    <row r="41" spans="3:536" ht="21" thickBot="1" x14ac:dyDescent="0.35">
      <c r="C41" s="272" t="s">
        <v>161</v>
      </c>
      <c r="U41" s="16"/>
      <c r="V41" s="30"/>
      <c r="W41"/>
      <c r="X41" s="2"/>
      <c r="Y41" s="2"/>
      <c r="Z41" s="2"/>
      <c r="AA41" s="2"/>
    </row>
    <row r="42" spans="3:536" ht="20.100000000000001" customHeight="1" thickTop="1" x14ac:dyDescent="0.3">
      <c r="U42" s="16"/>
      <c r="V42" s="30"/>
      <c r="W42"/>
      <c r="X42" s="2"/>
      <c r="Y42" s="2"/>
      <c r="Z42" s="2"/>
      <c r="AA42" s="2"/>
    </row>
    <row r="43" spans="3:536" ht="20.100000000000001" customHeight="1" x14ac:dyDescent="0.3">
      <c r="U43" s="16"/>
      <c r="V43" s="30"/>
      <c r="W43"/>
      <c r="X43" s="2"/>
      <c r="Y43" s="2"/>
      <c r="Z43" s="2"/>
      <c r="AA43" s="2"/>
    </row>
    <row r="44" spans="3:536" ht="20.100000000000001" customHeight="1" x14ac:dyDescent="0.3">
      <c r="U44" s="16"/>
      <c r="V44" s="30"/>
      <c r="W44"/>
      <c r="X44" s="2"/>
      <c r="Y44" s="2"/>
      <c r="Z44" s="2"/>
      <c r="AA44" s="2"/>
    </row>
    <row r="45" spans="3:536" ht="20.100000000000001" customHeight="1" x14ac:dyDescent="0.3">
      <c r="U45" s="16"/>
      <c r="V45" s="30"/>
      <c r="W45"/>
      <c r="X45" s="2"/>
      <c r="Y45" s="2"/>
      <c r="Z45" s="2"/>
      <c r="AA45" s="2"/>
    </row>
    <row r="46" spans="3:536" ht="20.100000000000001" customHeight="1" x14ac:dyDescent="0.3">
      <c r="U46" s="16"/>
      <c r="V46" s="30"/>
      <c r="W46"/>
      <c r="X46" s="2"/>
      <c r="Y46" s="2"/>
      <c r="Z46" s="2"/>
      <c r="AA46" s="2"/>
    </row>
    <row r="47" spans="3:536" ht="20.100000000000001" customHeight="1" x14ac:dyDescent="0.3">
      <c r="U47" s="16"/>
      <c r="V47" s="30"/>
      <c r="W47"/>
      <c r="X47" s="2"/>
      <c r="Y47" s="2"/>
      <c r="Z47" s="2"/>
      <c r="AA47" s="2"/>
    </row>
    <row r="48" spans="3:536" ht="20.100000000000001" customHeight="1" x14ac:dyDescent="0.3">
      <c r="U48" s="16"/>
      <c r="V48" s="30"/>
      <c r="W48"/>
      <c r="X48" s="2"/>
      <c r="Y48" s="2"/>
      <c r="Z48" s="2"/>
      <c r="AA48" s="2"/>
    </row>
    <row r="49" spans="19:27" ht="20.100000000000001" customHeight="1" x14ac:dyDescent="0.3">
      <c r="U49" s="16"/>
      <c r="V49" s="30"/>
      <c r="W49"/>
      <c r="X49" s="2"/>
      <c r="Y49" s="2"/>
      <c r="Z49" s="2"/>
      <c r="AA49" s="2"/>
    </row>
    <row r="50" spans="19:27" ht="20.100000000000001" customHeight="1" x14ac:dyDescent="0.3">
      <c r="U50" s="16"/>
      <c r="V50" s="30"/>
      <c r="W50"/>
      <c r="X50" s="2"/>
      <c r="Y50" s="2"/>
      <c r="Z50" s="2"/>
      <c r="AA50" s="2"/>
    </row>
    <row r="51" spans="19:27" ht="20.100000000000001" customHeight="1" x14ac:dyDescent="0.3">
      <c r="U51" s="16"/>
      <c r="V51" s="30"/>
      <c r="W51"/>
      <c r="X51" s="2"/>
      <c r="Y51" s="2"/>
      <c r="Z51" s="2"/>
      <c r="AA51" s="2"/>
    </row>
    <row r="52" spans="19:27" ht="20.100000000000001" customHeight="1" x14ac:dyDescent="0.3">
      <c r="U52" s="16"/>
      <c r="V52" s="30"/>
      <c r="W52"/>
      <c r="X52" s="2"/>
      <c r="Y52" s="2"/>
      <c r="Z52" s="2"/>
      <c r="AA52" s="2"/>
    </row>
    <row r="53" spans="19:27" ht="20.100000000000001" customHeight="1" x14ac:dyDescent="0.3">
      <c r="U53" s="16"/>
      <c r="V53" s="30"/>
      <c r="W53"/>
      <c r="X53" s="2"/>
      <c r="Y53" s="2"/>
      <c r="Z53" s="2"/>
      <c r="AA53" s="2"/>
    </row>
    <row r="54" spans="19:27" ht="20.100000000000001" customHeight="1" x14ac:dyDescent="0.3">
      <c r="U54" s="16"/>
      <c r="V54" s="30"/>
      <c r="W54"/>
      <c r="X54" s="2"/>
      <c r="Y54" s="2"/>
      <c r="Z54" s="2"/>
      <c r="AA54" s="2"/>
    </row>
    <row r="55" spans="19:27" ht="20.100000000000001" customHeight="1" x14ac:dyDescent="0.3">
      <c r="U55" s="16"/>
      <c r="V55" s="30"/>
      <c r="W55"/>
      <c r="X55" s="2"/>
      <c r="Y55" s="2"/>
      <c r="Z55" s="2"/>
      <c r="AA55" s="2"/>
    </row>
    <row r="56" spans="19:27" ht="20.100000000000001" customHeight="1" x14ac:dyDescent="0.3">
      <c r="U56" s="16"/>
      <c r="V56" s="30"/>
      <c r="W56"/>
      <c r="X56" s="2"/>
      <c r="Y56" s="2"/>
      <c r="Z56" s="2"/>
      <c r="AA56" s="2"/>
    </row>
    <row r="57" spans="19:27" ht="20.100000000000001" customHeight="1" x14ac:dyDescent="0.3">
      <c r="S57" s="2"/>
      <c r="U57" s="16"/>
      <c r="V57" s="30"/>
      <c r="W57"/>
      <c r="X57" s="2"/>
      <c r="Y57" s="2"/>
      <c r="Z57" s="2"/>
      <c r="AA57" s="2"/>
    </row>
    <row r="58" spans="19:27" ht="20.100000000000001" customHeight="1" x14ac:dyDescent="0.3">
      <c r="T58" s="5"/>
      <c r="U58" s="16"/>
      <c r="V58" s="30"/>
      <c r="W58"/>
      <c r="X58" s="5"/>
      <c r="Y58" s="5"/>
      <c r="Z58" s="5"/>
      <c r="AA58" s="5"/>
    </row>
    <row r="59" spans="19:27" ht="20.100000000000001" customHeight="1" x14ac:dyDescent="0.3">
      <c r="S59" s="2"/>
      <c r="U59" s="16"/>
      <c r="V59" s="30"/>
      <c r="W59"/>
      <c r="X59" s="2"/>
      <c r="Y59" s="2"/>
      <c r="Z59" s="2"/>
      <c r="AA59" s="2"/>
    </row>
    <row r="60" spans="19:27" ht="20.100000000000001" customHeight="1" x14ac:dyDescent="0.3">
      <c r="S60" s="2"/>
      <c r="U60" s="16"/>
      <c r="V60" s="30"/>
      <c r="W60"/>
      <c r="X60" s="2"/>
      <c r="Y60" s="2"/>
      <c r="Z60" s="2"/>
      <c r="AA60" s="2"/>
    </row>
    <row r="61" spans="19:27" ht="20.100000000000001" customHeight="1" x14ac:dyDescent="0.3">
      <c r="S61" s="2"/>
      <c r="U61" s="16"/>
      <c r="V61" s="30"/>
      <c r="W61"/>
      <c r="X61" s="2"/>
      <c r="Y61" s="2"/>
      <c r="Z61" s="2"/>
      <c r="AA61" s="2"/>
    </row>
    <row r="62" spans="19:27" ht="20.100000000000001" customHeight="1" x14ac:dyDescent="0.3">
      <c r="S62" s="2"/>
      <c r="U62" s="16"/>
      <c r="V62" s="30"/>
      <c r="W62"/>
      <c r="X62" s="2"/>
      <c r="Y62" s="2"/>
      <c r="Z62" s="2"/>
      <c r="AA62" s="2"/>
    </row>
    <row r="63" spans="19:27" ht="20.100000000000001" customHeight="1" x14ac:dyDescent="0.3">
      <c r="S63" s="2"/>
      <c r="U63" s="16"/>
      <c r="V63" s="30"/>
      <c r="W63"/>
      <c r="X63" s="2"/>
      <c r="Y63" s="2"/>
      <c r="Z63" s="2"/>
      <c r="AA63" s="2"/>
    </row>
    <row r="64" spans="19:27" ht="20.100000000000001" customHeight="1" x14ac:dyDescent="0.3">
      <c r="S64" s="2"/>
      <c r="U64" s="16"/>
      <c r="V64" s="30"/>
      <c r="W64"/>
      <c r="X64" s="2"/>
      <c r="Y64" s="2"/>
      <c r="Z64" s="2"/>
      <c r="AA64" s="2"/>
    </row>
    <row r="65" spans="3:27" ht="20.100000000000001" customHeight="1" x14ac:dyDescent="0.3">
      <c r="S65" s="2"/>
      <c r="U65" s="16"/>
      <c r="V65" s="30"/>
      <c r="W65"/>
      <c r="X65" s="2"/>
      <c r="Y65" s="2"/>
      <c r="Z65" s="2"/>
      <c r="AA65" s="2"/>
    </row>
    <row r="66" spans="3:27" ht="20.100000000000001" customHeight="1" thickBot="1" x14ac:dyDescent="0.35">
      <c r="C66" s="272" t="s">
        <v>162</v>
      </c>
      <c r="S66" s="2"/>
      <c r="U66" s="16"/>
      <c r="V66" s="30"/>
      <c r="W66"/>
      <c r="X66" s="2"/>
      <c r="Y66" s="2"/>
      <c r="Z66" s="2"/>
      <c r="AA66" s="2"/>
    </row>
    <row r="67" spans="3:27" ht="20.100000000000001" customHeight="1" thickTop="1" x14ac:dyDescent="0.3">
      <c r="S67" s="2"/>
      <c r="U67" s="16"/>
      <c r="V67" s="30"/>
      <c r="W67"/>
      <c r="X67" s="2"/>
      <c r="Y67" s="2"/>
      <c r="Z67" s="2"/>
      <c r="AA67" s="2"/>
    </row>
    <row r="68" spans="3:27" ht="20.100000000000001" customHeight="1" x14ac:dyDescent="0.3">
      <c r="S68" s="2"/>
      <c r="U68" s="16"/>
      <c r="V68" s="30"/>
      <c r="W68"/>
      <c r="X68" s="2"/>
      <c r="Y68" s="2"/>
      <c r="Z68" s="2"/>
      <c r="AA68" s="2"/>
    </row>
    <row r="69" spans="3:27" ht="20.100000000000001" customHeight="1" x14ac:dyDescent="0.2">
      <c r="S69" s="2"/>
      <c r="U69" s="2"/>
      <c r="V69" s="2"/>
      <c r="W69" s="2"/>
      <c r="X69" s="2"/>
      <c r="Y69" s="2"/>
      <c r="Z69" s="2"/>
      <c r="AA69" s="2"/>
    </row>
    <row r="70" spans="3:27" ht="20.100000000000001" customHeight="1" x14ac:dyDescent="0.2">
      <c r="S70" s="2"/>
      <c r="U70" s="2"/>
      <c r="V70" s="2"/>
      <c r="W70" s="2"/>
      <c r="X70" s="2"/>
      <c r="Y70" s="2"/>
      <c r="Z70" s="2"/>
      <c r="AA70" s="2"/>
    </row>
    <row r="71" spans="3:27" ht="20.100000000000001" customHeight="1" x14ac:dyDescent="0.2">
      <c r="S71" s="2"/>
      <c r="U71" s="2"/>
      <c r="V71" s="2"/>
      <c r="W71" s="2"/>
      <c r="X71" s="2"/>
      <c r="Y71" s="2"/>
      <c r="Z71" s="2"/>
      <c r="AA71" s="2"/>
    </row>
    <row r="72" spans="3:27" ht="20.100000000000001" customHeight="1" x14ac:dyDescent="0.2">
      <c r="S72" s="2"/>
      <c r="U72" s="2"/>
      <c r="V72" s="2"/>
      <c r="W72" s="2"/>
      <c r="X72" s="2"/>
      <c r="Y72" s="2"/>
      <c r="Z72" s="2"/>
      <c r="AA72" s="2"/>
    </row>
    <row r="73" spans="3:27" ht="20.100000000000001" customHeight="1" x14ac:dyDescent="0.2">
      <c r="S73" s="2"/>
      <c r="U73" s="2"/>
      <c r="V73" s="2"/>
      <c r="W73" s="2"/>
      <c r="X73" s="2"/>
      <c r="Y73" s="2"/>
      <c r="Z73" s="2"/>
      <c r="AA73" s="2"/>
    </row>
    <row r="74" spans="3:27" ht="20.100000000000001" customHeight="1" x14ac:dyDescent="0.2">
      <c r="S74" s="2"/>
      <c r="U74" s="2"/>
      <c r="V74" s="2"/>
      <c r="W74" s="2"/>
      <c r="X74" s="2"/>
      <c r="Y74" s="2"/>
      <c r="Z74" s="2"/>
      <c r="AA74" s="2"/>
    </row>
    <row r="75" spans="3:27" ht="20.100000000000001" customHeight="1" x14ac:dyDescent="0.2">
      <c r="S75" s="2"/>
      <c r="U75" s="2"/>
      <c r="V75" s="2"/>
      <c r="W75" s="2"/>
      <c r="X75" s="2"/>
      <c r="Y75" s="2"/>
      <c r="Z75" s="2"/>
      <c r="AA75" s="2"/>
    </row>
    <row r="76" spans="3:27" ht="20.100000000000001" customHeight="1" x14ac:dyDescent="0.2">
      <c r="S76" s="2"/>
      <c r="U76" s="2"/>
      <c r="V76" s="2"/>
      <c r="W76" s="2"/>
      <c r="X76" s="2"/>
      <c r="Y76" s="2"/>
      <c r="Z76" s="2"/>
      <c r="AA76" s="2"/>
    </row>
    <row r="77" spans="3:27" ht="20.100000000000001" customHeight="1" x14ac:dyDescent="0.2">
      <c r="S77" s="2"/>
      <c r="U77" s="2"/>
      <c r="V77" s="2"/>
      <c r="W77" s="2"/>
      <c r="X77" s="2"/>
      <c r="Y77" s="2"/>
      <c r="Z77" s="2"/>
      <c r="AA77" s="2"/>
    </row>
    <row r="78" spans="3:27" ht="20.100000000000001" customHeight="1" x14ac:dyDescent="0.2">
      <c r="S78" s="2"/>
      <c r="U78" s="2"/>
      <c r="V78" s="2"/>
      <c r="W78" s="2"/>
      <c r="X78" s="2"/>
      <c r="Y78" s="2"/>
      <c r="Z78" s="2"/>
      <c r="AA78" s="2"/>
    </row>
    <row r="79" spans="3:27" ht="20.100000000000001" customHeight="1" x14ac:dyDescent="0.2">
      <c r="S79" s="2"/>
      <c r="U79" s="2"/>
      <c r="V79" s="2"/>
      <c r="W79" s="2"/>
      <c r="X79" s="2"/>
      <c r="Y79" s="2"/>
      <c r="Z79" s="2"/>
      <c r="AA79" s="2"/>
    </row>
    <row r="80" spans="3:27" ht="20.100000000000001" customHeight="1" x14ac:dyDescent="0.2">
      <c r="S80" s="2"/>
      <c r="U80" s="2"/>
      <c r="V80" s="2"/>
      <c r="W80" s="2"/>
      <c r="X80" s="2"/>
      <c r="Y80" s="2"/>
      <c r="Z80" s="2"/>
      <c r="AA80" s="2"/>
    </row>
    <row r="81" spans="3:27" ht="20.100000000000001" customHeight="1" x14ac:dyDescent="0.2">
      <c r="S81" s="2"/>
      <c r="U81" s="2"/>
      <c r="V81" s="2"/>
      <c r="W81" s="2"/>
      <c r="X81" s="2"/>
      <c r="Y81" s="2"/>
      <c r="Z81" s="2"/>
      <c r="AA81" s="2"/>
    </row>
    <row r="82" spans="3:27" ht="20.100000000000001" customHeight="1" x14ac:dyDescent="0.2">
      <c r="S82" s="2"/>
      <c r="U82" s="2"/>
      <c r="V82" s="2"/>
      <c r="W82" s="2"/>
      <c r="X82" s="2"/>
      <c r="Y82" s="2"/>
      <c r="Z82" s="2"/>
      <c r="AA82" s="2"/>
    </row>
    <row r="83" spans="3:27" ht="20.100000000000001" customHeight="1" x14ac:dyDescent="0.2">
      <c r="S83" s="2"/>
      <c r="U83" s="2"/>
      <c r="V83" s="2"/>
      <c r="W83" s="2"/>
      <c r="X83" s="2"/>
      <c r="Y83" s="2"/>
      <c r="Z83" s="2"/>
      <c r="AA83" s="2"/>
    </row>
    <row r="84" spans="3:27" ht="20.100000000000001" customHeight="1" x14ac:dyDescent="0.2">
      <c r="S84" s="2"/>
      <c r="U84" s="2"/>
      <c r="V84" s="2"/>
      <c r="W84" s="2"/>
      <c r="X84" s="2"/>
      <c r="Y84" s="2"/>
      <c r="Z84" s="2"/>
      <c r="AA84" s="2"/>
    </row>
    <row r="85" spans="3:27" ht="20.25" x14ac:dyDescent="0.3">
      <c r="C85" s="290" t="s">
        <v>17</v>
      </c>
      <c r="D85" s="120" t="s" vm="2">
        <v>183</v>
      </c>
      <c r="E85" s="15"/>
      <c r="S85" s="2"/>
      <c r="U85" s="2"/>
      <c r="V85" s="2"/>
      <c r="W85" s="2"/>
      <c r="X85" s="2"/>
      <c r="Y85" s="2"/>
      <c r="Z85" s="2"/>
      <c r="AA85" s="2"/>
    </row>
    <row r="86" spans="3:27" ht="20.25" x14ac:dyDescent="0.2">
      <c r="C86" s="15"/>
      <c r="D86" s="15"/>
      <c r="E86" s="15"/>
      <c r="F86"/>
      <c r="G86"/>
      <c r="H86"/>
      <c r="I86"/>
      <c r="S86" s="2"/>
      <c r="U86" s="2"/>
      <c r="V86" s="2"/>
      <c r="W86" s="2"/>
      <c r="X86" s="2"/>
      <c r="Y86" s="2"/>
      <c r="Z86" s="2"/>
      <c r="AA86" s="2"/>
    </row>
    <row r="87" spans="3:27" ht="20.25" x14ac:dyDescent="0.3">
      <c r="C87" s="290" t="s">
        <v>131</v>
      </c>
      <c r="D87" s="120"/>
      <c r="E87" s="120"/>
      <c r="F87"/>
      <c r="G87"/>
      <c r="H87"/>
      <c r="I87"/>
      <c r="S87" s="2"/>
      <c r="U87" s="2"/>
      <c r="V87" s="2"/>
      <c r="W87" s="2"/>
      <c r="X87" s="2"/>
      <c r="Y87" s="2"/>
      <c r="Z87" s="2"/>
      <c r="AA87" s="2"/>
    </row>
    <row r="88" spans="3:27" ht="20.25" x14ac:dyDescent="0.3">
      <c r="C88" s="120"/>
      <c r="D88" s="120" t="s">
        <v>69</v>
      </c>
      <c r="E88" s="120" t="s">
        <v>185</v>
      </c>
      <c r="F88"/>
      <c r="G88"/>
      <c r="H88" s="1"/>
      <c r="I88" s="1"/>
      <c r="J88" s="32"/>
      <c r="K88" s="32"/>
      <c r="L88" s="32"/>
      <c r="M88" s="32"/>
      <c r="N88" s="32"/>
      <c r="O88" s="32"/>
      <c r="P88" s="32"/>
      <c r="Q88" s="32"/>
      <c r="R88" s="32"/>
      <c r="S88" s="32"/>
      <c r="T88" s="32"/>
      <c r="U88" s="32"/>
      <c r="V88" s="32"/>
      <c r="W88" s="32"/>
      <c r="X88" s="32"/>
      <c r="Y88" s="32"/>
      <c r="Z88" s="32"/>
      <c r="AA88" s="32"/>
    </row>
    <row r="89" spans="3:27" ht="20.25" x14ac:dyDescent="0.3">
      <c r="C89" s="291" t="s">
        <v>168</v>
      </c>
      <c r="D89" s="300">
        <v>1</v>
      </c>
      <c r="E89" s="300">
        <v>1</v>
      </c>
      <c r="F89"/>
      <c r="G89"/>
      <c r="H89"/>
      <c r="I89"/>
      <c r="S89" s="2"/>
      <c r="U89" s="2"/>
      <c r="V89" s="2"/>
      <c r="W89" s="2"/>
      <c r="X89" s="2"/>
      <c r="Y89" s="2"/>
      <c r="Z89" s="2"/>
      <c r="AA89" s="2"/>
    </row>
    <row r="90" spans="3:27" ht="20.25" x14ac:dyDescent="0.3">
      <c r="C90" s="291" t="s">
        <v>185</v>
      </c>
      <c r="D90" s="300">
        <v>1</v>
      </c>
      <c r="E90" s="300">
        <v>1</v>
      </c>
      <c r="F90"/>
      <c r="G90"/>
      <c r="H90"/>
      <c r="I90"/>
      <c r="S90" s="2"/>
      <c r="U90" s="2"/>
      <c r="V90" s="2"/>
      <c r="W90" s="2"/>
      <c r="X90" s="2"/>
      <c r="Y90" s="2"/>
      <c r="Z90" s="2"/>
      <c r="AA90" s="2"/>
    </row>
    <row r="91" spans="3:27" ht="12.75" x14ac:dyDescent="0.2">
      <c r="C91"/>
      <c r="D91"/>
      <c r="E91"/>
      <c r="F91"/>
      <c r="G91"/>
      <c r="H91"/>
      <c r="I91"/>
      <c r="S91" s="2"/>
      <c r="U91" s="2"/>
      <c r="V91" s="2"/>
      <c r="W91" s="2"/>
      <c r="X91" s="2"/>
      <c r="Y91" s="2"/>
      <c r="Z91" s="2"/>
      <c r="AA91" s="2"/>
    </row>
    <row r="92" spans="3:27" ht="12.75" x14ac:dyDescent="0.2">
      <c r="C92"/>
      <c r="D92"/>
      <c r="E92"/>
      <c r="F92"/>
      <c r="G92"/>
      <c r="H92"/>
      <c r="I92"/>
      <c r="S92" s="2"/>
      <c r="U92" s="2"/>
      <c r="V92" s="2"/>
      <c r="W92" s="2"/>
      <c r="X92" s="2"/>
      <c r="Y92" s="2"/>
      <c r="Z92" s="2"/>
      <c r="AA92" s="2"/>
    </row>
    <row r="93" spans="3:27" ht="12.75" x14ac:dyDescent="0.2">
      <c r="C93"/>
      <c r="D93"/>
      <c r="E93"/>
      <c r="F93"/>
      <c r="G93"/>
      <c r="H93"/>
      <c r="I93"/>
      <c r="S93" s="2"/>
      <c r="U93" s="2"/>
      <c r="V93" s="2"/>
      <c r="W93" s="2"/>
      <c r="X93" s="2"/>
      <c r="Y93" s="2"/>
      <c r="Z93" s="2"/>
      <c r="AA93" s="2"/>
    </row>
    <row r="94" spans="3:27" ht="12.75" x14ac:dyDescent="0.2">
      <c r="C94"/>
      <c r="D94"/>
      <c r="E94"/>
      <c r="F94"/>
      <c r="G94"/>
      <c r="H94"/>
      <c r="I94"/>
      <c r="S94" s="2"/>
      <c r="U94" s="2"/>
      <c r="V94" s="2"/>
      <c r="W94" s="2"/>
      <c r="X94" s="2"/>
      <c r="Y94" s="2"/>
      <c r="Z94" s="2"/>
      <c r="AA94" s="2"/>
    </row>
    <row r="95" spans="3:27" ht="12.75" x14ac:dyDescent="0.2">
      <c r="C95"/>
      <c r="D95"/>
      <c r="E95"/>
      <c r="F95"/>
      <c r="G95"/>
      <c r="H95"/>
      <c r="I95"/>
      <c r="K95" s="4"/>
      <c r="S95" s="2"/>
      <c r="U95" s="2"/>
      <c r="V95" s="2"/>
      <c r="W95" s="2"/>
      <c r="X95" s="2"/>
      <c r="Y95" s="2"/>
      <c r="Z95" s="2"/>
      <c r="AA95" s="2"/>
    </row>
    <row r="96" spans="3:27" ht="12.75" x14ac:dyDescent="0.2">
      <c r="C96"/>
      <c r="D96"/>
      <c r="E96"/>
      <c r="F96"/>
      <c r="G96"/>
      <c r="H96"/>
      <c r="I96"/>
      <c r="K96" s="4"/>
      <c r="S96" s="2"/>
      <c r="U96" s="2"/>
      <c r="V96" s="2"/>
      <c r="W96" s="2"/>
      <c r="X96" s="2"/>
      <c r="Y96" s="2"/>
      <c r="Z96" s="2"/>
      <c r="AA96" s="2"/>
    </row>
    <row r="97" spans="3:27" ht="12.75" x14ac:dyDescent="0.2">
      <c r="C97"/>
      <c r="D97"/>
      <c r="E97"/>
      <c r="F97"/>
      <c r="G97"/>
      <c r="H97"/>
      <c r="I97"/>
      <c r="S97" s="2"/>
      <c r="U97" s="2"/>
      <c r="V97" s="2"/>
      <c r="W97" s="2"/>
      <c r="X97" s="2"/>
      <c r="Y97" s="2"/>
      <c r="Z97" s="2"/>
      <c r="AA97" s="2"/>
    </row>
    <row r="98" spans="3:27" ht="20.100000000000001" customHeight="1" x14ac:dyDescent="0.2">
      <c r="S98" s="2"/>
      <c r="U98" s="2"/>
      <c r="V98" s="2"/>
      <c r="W98" s="2"/>
      <c r="X98" s="2"/>
      <c r="Y98" s="2"/>
      <c r="Z98" s="2"/>
      <c r="AA98" s="2"/>
    </row>
    <row r="99" spans="3:27" ht="20.100000000000001" customHeight="1" x14ac:dyDescent="0.2">
      <c r="S99" s="2"/>
      <c r="U99" s="2"/>
      <c r="V99" s="2"/>
      <c r="W99" s="2"/>
      <c r="X99" s="2"/>
      <c r="Y99" s="2"/>
      <c r="Z99" s="2"/>
      <c r="AA99" s="2"/>
    </row>
    <row r="100" spans="3:27" ht="20.100000000000001" customHeight="1" x14ac:dyDescent="0.2">
      <c r="S100" s="2"/>
      <c r="U100" s="2"/>
      <c r="V100" s="2"/>
      <c r="W100" s="2"/>
      <c r="X100" s="2"/>
      <c r="Y100" s="2"/>
      <c r="Z100" s="2"/>
      <c r="AA100" s="2"/>
    </row>
    <row r="101" spans="3:27" ht="20.100000000000001" customHeight="1" x14ac:dyDescent="0.2">
      <c r="C101" s="3"/>
      <c r="D101" s="3"/>
      <c r="E101" s="3"/>
      <c r="F101" s="3"/>
      <c r="G101" s="3"/>
      <c r="S101" s="2"/>
      <c r="U101" s="2"/>
      <c r="V101" s="2"/>
      <c r="W101" s="2"/>
      <c r="X101" s="2"/>
      <c r="Y101" s="2"/>
      <c r="Z101" s="2"/>
      <c r="AA101" s="2"/>
    </row>
    <row r="102" spans="3:27" ht="20.100000000000001" customHeight="1" x14ac:dyDescent="0.2">
      <c r="S102" s="2"/>
      <c r="U102" s="2"/>
      <c r="V102" s="2"/>
      <c r="W102" s="2"/>
      <c r="X102" s="2"/>
      <c r="Y102" s="2"/>
      <c r="Z102" s="2"/>
      <c r="AA102" s="2"/>
    </row>
    <row r="103" spans="3:27" ht="20.100000000000001" customHeight="1" x14ac:dyDescent="0.2">
      <c r="S103" s="2"/>
      <c r="U103" s="2"/>
      <c r="V103" s="2"/>
      <c r="W103" s="2"/>
      <c r="X103" s="2"/>
      <c r="Y103" s="2"/>
      <c r="Z103" s="2"/>
      <c r="AA103" s="2"/>
    </row>
    <row r="104" spans="3:27" ht="20.100000000000001" customHeight="1" x14ac:dyDescent="0.2">
      <c r="S104" s="2"/>
      <c r="U104" s="2"/>
      <c r="V104" s="2"/>
      <c r="W104" s="2"/>
      <c r="X104" s="2"/>
      <c r="Y104" s="2"/>
      <c r="Z104" s="2"/>
      <c r="AA104" s="2"/>
    </row>
    <row r="105" spans="3:27" ht="20.100000000000001" customHeight="1" x14ac:dyDescent="0.2">
      <c r="S105" s="2"/>
      <c r="U105" s="2"/>
      <c r="V105" s="2"/>
      <c r="W105" s="2"/>
      <c r="X105" s="2"/>
      <c r="Y105" s="2"/>
      <c r="Z105" s="2"/>
      <c r="AA105" s="2"/>
    </row>
    <row r="106" spans="3:27" ht="20.100000000000001" customHeight="1" x14ac:dyDescent="0.2">
      <c r="S106" s="2"/>
      <c r="U106" s="2"/>
      <c r="V106" s="2"/>
      <c r="W106" s="2"/>
      <c r="X106" s="2"/>
      <c r="Y106" s="2"/>
      <c r="Z106" s="2"/>
      <c r="AA106" s="2"/>
    </row>
    <row r="107" spans="3:27" ht="20.100000000000001" customHeight="1" x14ac:dyDescent="0.2">
      <c r="S107" s="2"/>
      <c r="U107" s="2"/>
      <c r="V107" s="2"/>
      <c r="W107" s="2"/>
      <c r="X107" s="2"/>
      <c r="Y107" s="2"/>
      <c r="Z107" s="2"/>
      <c r="AA107" s="2"/>
    </row>
    <row r="108" spans="3:27" ht="20.100000000000001" customHeight="1" x14ac:dyDescent="0.2">
      <c r="S108" s="2"/>
      <c r="U108" s="2"/>
      <c r="V108" s="2"/>
      <c r="W108" s="2"/>
      <c r="X108" s="2"/>
      <c r="Y108" s="2"/>
      <c r="Z108" s="2"/>
      <c r="AA108" s="2"/>
    </row>
    <row r="109" spans="3:27" ht="20.25" x14ac:dyDescent="0.3">
      <c r="C109" s="290" t="s">
        <v>22</v>
      </c>
      <c r="D109" s="120" t="s" vm="4">
        <v>183</v>
      </c>
      <c r="E109" s="15"/>
      <c r="G109"/>
      <c r="S109" s="2"/>
      <c r="U109" s="2"/>
      <c r="V109" s="2"/>
      <c r="W109" s="2"/>
      <c r="X109" s="2"/>
      <c r="Y109" s="2"/>
      <c r="Z109" s="2"/>
      <c r="AA109" s="2"/>
    </row>
    <row r="110" spans="3:27" ht="20.25" x14ac:dyDescent="0.2">
      <c r="C110" s="15"/>
      <c r="D110" s="15"/>
      <c r="E110" s="15"/>
      <c r="F110"/>
      <c r="G110"/>
      <c r="S110" s="2"/>
      <c r="U110" s="2"/>
      <c r="V110" s="2"/>
      <c r="W110" s="2"/>
      <c r="X110" s="2"/>
      <c r="Y110" s="2"/>
      <c r="Z110" s="2"/>
      <c r="AA110" s="2"/>
    </row>
    <row r="111" spans="3:27" ht="20.25" x14ac:dyDescent="0.3">
      <c r="C111" s="290" t="s">
        <v>132</v>
      </c>
      <c r="D111" s="120"/>
      <c r="E111" s="120"/>
      <c r="F111"/>
      <c r="G111"/>
      <c r="S111" s="2"/>
      <c r="U111" s="2"/>
      <c r="V111" s="2"/>
      <c r="W111" s="2"/>
      <c r="X111" s="2"/>
      <c r="Y111" s="2"/>
      <c r="Z111" s="2"/>
      <c r="AA111" s="2"/>
    </row>
    <row r="112" spans="3:27" ht="20.25" x14ac:dyDescent="0.3">
      <c r="C112" s="120"/>
      <c r="D112" s="120" t="s">
        <v>69</v>
      </c>
      <c r="E112" s="120" t="s">
        <v>185</v>
      </c>
      <c r="F112"/>
      <c r="G112"/>
      <c r="H112" s="32"/>
      <c r="I112" s="32"/>
      <c r="J112" s="32"/>
      <c r="K112" s="32"/>
      <c r="L112" s="32"/>
      <c r="M112" s="32"/>
      <c r="N112" s="32"/>
      <c r="O112" s="32"/>
      <c r="P112" s="32"/>
      <c r="Q112" s="32"/>
      <c r="R112" s="32"/>
      <c r="S112" s="32"/>
      <c r="T112" s="32"/>
      <c r="U112" s="32"/>
      <c r="V112" s="32"/>
      <c r="W112" s="32"/>
      <c r="X112" s="32"/>
      <c r="Y112" s="32"/>
      <c r="Z112" s="32"/>
      <c r="AA112" s="32"/>
    </row>
    <row r="113" spans="3:27" ht="20.25" x14ac:dyDescent="0.3">
      <c r="C113" s="291" t="s">
        <v>195</v>
      </c>
      <c r="D113" s="300">
        <v>0.31689863225851939</v>
      </c>
      <c r="E113" s="300">
        <v>0.31689863225851939</v>
      </c>
      <c r="F113"/>
      <c r="G113"/>
      <c r="S113" s="2"/>
      <c r="U113" s="2"/>
      <c r="V113" s="2"/>
      <c r="W113" s="2"/>
      <c r="X113" s="2"/>
      <c r="Y113" s="2"/>
      <c r="Z113" s="2"/>
      <c r="AA113" s="2"/>
    </row>
    <row r="114" spans="3:27" ht="20.25" x14ac:dyDescent="0.3">
      <c r="C114" s="291" t="s">
        <v>186</v>
      </c>
      <c r="D114" s="300">
        <v>0.23101910291646063</v>
      </c>
      <c r="E114" s="300">
        <v>0.23101910291646063</v>
      </c>
      <c r="F114"/>
      <c r="G114"/>
      <c r="S114" s="2"/>
      <c r="U114" s="2"/>
      <c r="V114" s="2"/>
      <c r="W114" s="2"/>
      <c r="X114" s="2"/>
      <c r="Y114" s="2"/>
      <c r="Z114" s="2"/>
      <c r="AA114" s="2"/>
    </row>
    <row r="115" spans="3:27" ht="20.25" x14ac:dyDescent="0.3">
      <c r="C115" s="291" t="s">
        <v>199</v>
      </c>
      <c r="D115" s="300">
        <v>0.12916636137857715</v>
      </c>
      <c r="E115" s="300">
        <v>0.12916636137857715</v>
      </c>
      <c r="F115"/>
      <c r="G115"/>
      <c r="S115" s="2"/>
      <c r="U115" s="2"/>
      <c r="V115" s="2"/>
      <c r="W115" s="2"/>
      <c r="X115" s="2"/>
      <c r="Y115" s="2"/>
      <c r="Z115" s="2"/>
      <c r="AA115" s="2"/>
    </row>
    <row r="116" spans="3:27" ht="20.25" x14ac:dyDescent="0.3">
      <c r="C116" s="291" t="s">
        <v>181</v>
      </c>
      <c r="D116" s="300">
        <v>0.32291590344644283</v>
      </c>
      <c r="E116" s="300">
        <v>0.32291590344644283</v>
      </c>
      <c r="F116"/>
      <c r="G116"/>
      <c r="S116" s="2"/>
      <c r="U116" s="2"/>
      <c r="V116" s="2"/>
      <c r="W116" s="2"/>
      <c r="X116" s="2"/>
      <c r="Y116" s="2"/>
      <c r="Z116" s="2"/>
      <c r="AA116" s="2"/>
    </row>
    <row r="117" spans="3:27" ht="20.25" x14ac:dyDescent="0.3">
      <c r="C117" s="291" t="s">
        <v>185</v>
      </c>
      <c r="D117" s="300">
        <v>1</v>
      </c>
      <c r="E117" s="300">
        <v>1</v>
      </c>
      <c r="F117"/>
      <c r="G117"/>
      <c r="S117" s="2"/>
      <c r="U117" s="2"/>
      <c r="V117" s="2"/>
      <c r="W117" s="2"/>
      <c r="X117" s="2"/>
      <c r="Y117" s="2"/>
      <c r="Z117" s="2"/>
      <c r="AA117" s="2"/>
    </row>
    <row r="118" spans="3:27" ht="12.75" x14ac:dyDescent="0.2">
      <c r="C118"/>
      <c r="D118"/>
      <c r="E118"/>
      <c r="F118"/>
      <c r="G118"/>
      <c r="S118" s="2"/>
      <c r="U118" s="2"/>
      <c r="V118" s="2"/>
      <c r="W118" s="2"/>
      <c r="X118" s="2"/>
      <c r="Y118" s="2"/>
      <c r="Z118" s="2"/>
      <c r="AA118" s="2"/>
    </row>
    <row r="119" spans="3:27" ht="12.75" x14ac:dyDescent="0.2">
      <c r="C119"/>
      <c r="D119"/>
      <c r="E119"/>
      <c r="F119"/>
      <c r="G119"/>
      <c r="S119" s="2"/>
      <c r="U119" s="2"/>
      <c r="V119" s="2"/>
      <c r="W119" s="2"/>
      <c r="X119" s="2"/>
      <c r="Y119" s="2"/>
      <c r="Z119" s="2"/>
      <c r="AA119" s="2"/>
    </row>
    <row r="120" spans="3:27" ht="12.75" x14ac:dyDescent="0.2">
      <c r="C120"/>
      <c r="D120"/>
      <c r="E120"/>
      <c r="F120"/>
      <c r="G120"/>
      <c r="S120" s="2"/>
      <c r="U120" s="2"/>
      <c r="V120" s="2"/>
      <c r="W120" s="2"/>
      <c r="X120" s="2"/>
      <c r="Y120" s="2"/>
      <c r="Z120" s="2"/>
      <c r="AA120" s="2"/>
    </row>
    <row r="121" spans="3:27" ht="12.75" x14ac:dyDescent="0.2">
      <c r="C121"/>
      <c r="D121"/>
      <c r="E121"/>
      <c r="F121"/>
      <c r="G121"/>
      <c r="S121" s="2"/>
      <c r="U121" s="2"/>
      <c r="V121" s="2"/>
      <c r="W121" s="2"/>
      <c r="X121" s="2"/>
      <c r="Y121" s="2"/>
      <c r="Z121" s="2"/>
      <c r="AA121" s="2"/>
    </row>
    <row r="122" spans="3:27" ht="12.75" x14ac:dyDescent="0.2">
      <c r="C122"/>
      <c r="D122"/>
      <c r="E122"/>
      <c r="F122"/>
      <c r="G122"/>
      <c r="S122" s="2"/>
      <c r="U122" s="2"/>
      <c r="V122" s="2"/>
      <c r="W122" s="2"/>
      <c r="X122" s="2"/>
      <c r="Y122" s="2"/>
      <c r="Z122" s="2"/>
      <c r="AA122" s="2"/>
    </row>
    <row r="123" spans="3:27" ht="12.75" x14ac:dyDescent="0.2">
      <c r="C123"/>
      <c r="D123"/>
      <c r="E123"/>
      <c r="F123"/>
      <c r="G123"/>
      <c r="S123" s="2"/>
      <c r="U123" s="2"/>
      <c r="V123" s="2"/>
      <c r="W123" s="2"/>
      <c r="X123" s="2"/>
      <c r="Y123" s="2"/>
      <c r="Z123" s="2"/>
      <c r="AA123" s="2"/>
    </row>
    <row r="124" spans="3:27" ht="12.75" x14ac:dyDescent="0.2">
      <c r="C124"/>
      <c r="D124"/>
      <c r="E124"/>
      <c r="F124"/>
      <c r="G124"/>
      <c r="S124" s="2"/>
      <c r="U124" s="2"/>
      <c r="V124" s="2"/>
      <c r="W124" s="2"/>
      <c r="X124" s="2"/>
      <c r="Y124" s="2"/>
      <c r="Z124" s="2"/>
      <c r="AA124" s="2"/>
    </row>
    <row r="125" spans="3:27" ht="12.75" x14ac:dyDescent="0.2">
      <c r="C125"/>
      <c r="D125"/>
      <c r="E125"/>
      <c r="F125"/>
      <c r="G125"/>
      <c r="S125" s="2"/>
      <c r="U125" s="2"/>
      <c r="V125" s="2"/>
      <c r="W125" s="2"/>
      <c r="X125" s="2"/>
      <c r="Y125" s="2"/>
      <c r="Z125" s="2"/>
      <c r="AA125" s="2"/>
    </row>
    <row r="126" spans="3:27" ht="12.75" x14ac:dyDescent="0.2">
      <c r="C126"/>
      <c r="D126"/>
      <c r="E126"/>
      <c r="F126"/>
      <c r="G126"/>
      <c r="S126" s="2"/>
      <c r="U126" s="2"/>
      <c r="V126" s="2"/>
      <c r="W126" s="2"/>
      <c r="X126" s="2"/>
      <c r="Y126" s="2"/>
      <c r="Z126" s="2"/>
      <c r="AA126" s="2"/>
    </row>
    <row r="127" spans="3:27" ht="12.75" x14ac:dyDescent="0.2">
      <c r="C127"/>
      <c r="D127"/>
      <c r="E127"/>
      <c r="F127"/>
      <c r="G127"/>
      <c r="S127" s="2"/>
      <c r="U127" s="2"/>
      <c r="V127" s="2"/>
      <c r="W127" s="2"/>
      <c r="X127" s="2"/>
      <c r="Y127" s="2"/>
      <c r="Z127" s="2"/>
      <c r="AA127" s="2"/>
    </row>
    <row r="128" spans="3:27" ht="12.75" x14ac:dyDescent="0.2">
      <c r="C128"/>
      <c r="D128"/>
      <c r="E128"/>
      <c r="F128"/>
      <c r="G128"/>
      <c r="S128" s="2"/>
      <c r="U128" s="2"/>
      <c r="V128" s="2"/>
      <c r="W128" s="2"/>
      <c r="X128" s="2"/>
      <c r="Y128" s="2"/>
      <c r="Z128" s="2"/>
      <c r="AA128" s="2"/>
    </row>
    <row r="129" spans="3:27" ht="12.75" x14ac:dyDescent="0.2">
      <c r="C129"/>
      <c r="D129"/>
      <c r="E129"/>
      <c r="F129"/>
      <c r="G129"/>
      <c r="S129" s="2"/>
      <c r="U129" s="2"/>
      <c r="V129" s="2"/>
      <c r="W129" s="2"/>
      <c r="X129" s="2"/>
      <c r="Y129" s="2"/>
      <c r="Z129" s="2"/>
      <c r="AA129" s="2"/>
    </row>
    <row r="130" spans="3:27" ht="12.75" x14ac:dyDescent="0.2">
      <c r="C130"/>
      <c r="D130"/>
      <c r="E130"/>
      <c r="F130"/>
      <c r="G130"/>
      <c r="S130" s="2"/>
      <c r="U130" s="2"/>
      <c r="V130" s="2"/>
      <c r="W130" s="2"/>
      <c r="X130" s="2"/>
      <c r="Y130" s="2"/>
      <c r="Z130" s="2"/>
      <c r="AA130" s="2"/>
    </row>
    <row r="131" spans="3:27" ht="24" thickBot="1" x14ac:dyDescent="0.25">
      <c r="C131" s="282" t="s">
        <v>27</v>
      </c>
      <c r="D131" s="270"/>
      <c r="E131"/>
      <c r="F131"/>
      <c r="G131"/>
      <c r="S131" s="2"/>
      <c r="U131" s="2"/>
      <c r="V131" s="2"/>
      <c r="W131" s="2"/>
      <c r="X131" s="2"/>
      <c r="Y131" s="2"/>
      <c r="Z131" s="2"/>
      <c r="AA131" s="2"/>
    </row>
    <row r="132" spans="3:27" ht="21" thickTop="1" x14ac:dyDescent="0.2">
      <c r="C132" s="201"/>
      <c r="D132" s="269"/>
      <c r="E132"/>
      <c r="F132"/>
      <c r="G132"/>
      <c r="S132" s="2"/>
      <c r="U132" s="2"/>
      <c r="V132" s="2"/>
      <c r="W132" s="2"/>
      <c r="X132" s="2"/>
      <c r="Y132" s="2"/>
      <c r="Z132" s="2"/>
      <c r="AA132" s="2"/>
    </row>
    <row r="133" spans="3:27" ht="21" thickBot="1" x14ac:dyDescent="0.25">
      <c r="C133" s="271" t="s">
        <v>108</v>
      </c>
      <c r="D133" s="270"/>
      <c r="E133"/>
      <c r="F133"/>
      <c r="G133"/>
      <c r="S133" s="2"/>
      <c r="U133" s="2"/>
      <c r="V133" s="2"/>
      <c r="W133" s="2"/>
      <c r="X133" s="2"/>
      <c r="Y133" s="2"/>
      <c r="Z133" s="2"/>
      <c r="AA133" s="2"/>
    </row>
    <row r="134" spans="3:27" ht="20.100000000000001" customHeight="1" thickTop="1" x14ac:dyDescent="0.2">
      <c r="S134" s="2"/>
      <c r="U134" s="2"/>
      <c r="V134" s="2"/>
      <c r="W134" s="2"/>
      <c r="X134" s="2"/>
      <c r="Y134" s="2"/>
      <c r="Z134" s="2"/>
      <c r="AA134" s="2"/>
    </row>
    <row r="135" spans="3:27" ht="20.100000000000001" customHeight="1" x14ac:dyDescent="0.2">
      <c r="S135" s="2"/>
      <c r="U135" s="2"/>
      <c r="V135" s="2"/>
      <c r="W135" s="2"/>
      <c r="X135" s="2"/>
      <c r="Y135" s="2"/>
      <c r="Z135" s="2"/>
      <c r="AA135" s="2"/>
    </row>
    <row r="136" spans="3:27" ht="20.100000000000001" customHeight="1" x14ac:dyDescent="0.2">
      <c r="S136" s="2"/>
      <c r="U136" s="2"/>
      <c r="V136" s="2"/>
      <c r="W136" s="2"/>
      <c r="X136" s="2"/>
      <c r="Y136" s="2"/>
      <c r="Z136" s="2"/>
      <c r="AA136" s="2"/>
    </row>
    <row r="137" spans="3:27" ht="20.100000000000001" customHeight="1" x14ac:dyDescent="0.2">
      <c r="S137" s="2"/>
      <c r="U137" s="2"/>
      <c r="V137" s="2"/>
      <c r="W137" s="2"/>
      <c r="X137" s="2"/>
      <c r="Y137" s="2"/>
      <c r="Z137" s="2"/>
      <c r="AA137" s="2"/>
    </row>
    <row r="138" spans="3:27" ht="20.100000000000001" customHeight="1" x14ac:dyDescent="0.2">
      <c r="S138" s="2"/>
      <c r="U138" s="2"/>
      <c r="V138" s="2"/>
      <c r="W138" s="2"/>
      <c r="X138" s="2"/>
      <c r="Y138" s="2"/>
      <c r="Z138" s="2"/>
      <c r="AA138" s="2"/>
    </row>
    <row r="139" spans="3:27" ht="20.100000000000001" customHeight="1" x14ac:dyDescent="0.2">
      <c r="S139" s="2"/>
      <c r="U139" s="2"/>
      <c r="V139" s="2"/>
      <c r="W139" s="2"/>
      <c r="X139" s="2"/>
      <c r="Y139" s="2"/>
      <c r="Z139" s="2"/>
      <c r="AA139" s="2"/>
    </row>
    <row r="140" spans="3:27" ht="20.100000000000001" customHeight="1" x14ac:dyDescent="0.2">
      <c r="S140" s="2"/>
      <c r="U140" s="2"/>
      <c r="V140" s="2"/>
      <c r="W140" s="2"/>
      <c r="X140" s="2"/>
      <c r="Y140" s="2"/>
      <c r="Z140" s="2"/>
      <c r="AA140" s="2"/>
    </row>
    <row r="141" spans="3:27" ht="20.100000000000001" customHeight="1" x14ac:dyDescent="0.2">
      <c r="S141" s="2"/>
      <c r="U141" s="2"/>
      <c r="V141" s="2"/>
      <c r="W141" s="2"/>
      <c r="X141" s="2"/>
      <c r="Y141" s="2"/>
      <c r="Z141" s="2"/>
      <c r="AA141" s="2"/>
    </row>
    <row r="142" spans="3:27" ht="20.100000000000001" customHeight="1" x14ac:dyDescent="0.2">
      <c r="S142" s="2"/>
      <c r="U142" s="2"/>
      <c r="V142" s="2"/>
      <c r="W142" s="2"/>
      <c r="X142" s="2"/>
      <c r="Y142" s="2"/>
      <c r="Z142" s="2"/>
      <c r="AA142" s="2"/>
    </row>
    <row r="143" spans="3:27" ht="20.100000000000001" customHeight="1" x14ac:dyDescent="0.2">
      <c r="S143" s="2"/>
      <c r="U143" s="2"/>
      <c r="V143" s="2"/>
      <c r="W143" s="2"/>
      <c r="X143" s="2"/>
      <c r="Y143" s="2"/>
      <c r="Z143" s="2"/>
      <c r="AA143" s="2"/>
    </row>
    <row r="144" spans="3:27" ht="20.100000000000001" customHeight="1" x14ac:dyDescent="0.2">
      <c r="S144" s="2"/>
      <c r="U144" s="2"/>
      <c r="V144" s="2"/>
      <c r="W144" s="2"/>
      <c r="X144" s="2"/>
      <c r="Y144" s="2"/>
      <c r="Z144" s="2"/>
      <c r="AA144" s="2"/>
    </row>
    <row r="145" spans="1:536" ht="12.75" x14ac:dyDescent="0.2">
      <c r="S145" s="2"/>
      <c r="U145" s="2"/>
      <c r="V145" s="2"/>
      <c r="W145" s="2"/>
      <c r="X145" s="2"/>
      <c r="Y145" s="2"/>
      <c r="Z145" s="2"/>
      <c r="AA145" s="2"/>
    </row>
    <row r="146" spans="1:536" s="6" customFormat="1" ht="20.100000000000001" customHeight="1" x14ac:dyDescent="0.2">
      <c r="A146" s="2"/>
      <c r="B146" s="3"/>
      <c r="C146" s="2"/>
      <c r="D146" s="2"/>
      <c r="E146" s="2"/>
      <c r="F146" s="2"/>
      <c r="G146" s="3"/>
      <c r="H146" s="2"/>
      <c r="I146" s="2"/>
      <c r="J146" s="2"/>
      <c r="K146" s="2"/>
      <c r="L146" s="2"/>
      <c r="M146" s="2"/>
      <c r="N146" s="2"/>
      <c r="O146" s="2"/>
      <c r="P146" s="2"/>
      <c r="Q146" s="2"/>
      <c r="R146" s="3"/>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row>
    <row r="147" spans="1:536" s="6" customFormat="1" ht="20.10000000000000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row>
    <row r="148" spans="1:536" s="6" customFormat="1" ht="20.10000000000000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row>
    <row r="149" spans="1:536" s="9" customFormat="1" ht="20.10000000000000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row>
    <row r="150" spans="1:536" ht="20.100000000000001" customHeight="1" x14ac:dyDescent="0.2">
      <c r="S150" s="2"/>
      <c r="U150" s="2"/>
      <c r="V150" s="2"/>
      <c r="W150" s="2"/>
      <c r="X150" s="2"/>
      <c r="Y150" s="2"/>
      <c r="Z150" s="2"/>
      <c r="AA150" s="2"/>
    </row>
    <row r="151" spans="1:536" ht="20.100000000000001" customHeight="1" x14ac:dyDescent="0.2">
      <c r="S151" s="2"/>
      <c r="U151" s="2"/>
      <c r="V151" s="2"/>
      <c r="W151" s="2"/>
      <c r="X151" s="2"/>
      <c r="Y151" s="2"/>
      <c r="Z151" s="2"/>
      <c r="AA151" s="2"/>
    </row>
    <row r="152" spans="1:536" ht="20.100000000000001" customHeight="1" x14ac:dyDescent="0.2">
      <c r="S152" s="2"/>
      <c r="U152" s="2"/>
      <c r="V152" s="2"/>
      <c r="W152" s="2"/>
      <c r="X152" s="2"/>
      <c r="Y152" s="2"/>
      <c r="Z152" s="2"/>
      <c r="AA152" s="2"/>
    </row>
    <row r="153" spans="1:536" ht="20.100000000000001" customHeight="1" x14ac:dyDescent="0.2">
      <c r="S153" s="2"/>
      <c r="U153" s="2"/>
      <c r="V153" s="2"/>
      <c r="W153" s="2"/>
      <c r="X153" s="2"/>
      <c r="Y153" s="2"/>
      <c r="Z153" s="2"/>
      <c r="AA153" s="2"/>
    </row>
    <row r="154" spans="1:536" ht="20.100000000000001" customHeight="1" x14ac:dyDescent="0.2">
      <c r="S154" s="2"/>
      <c r="U154" s="2"/>
      <c r="V154" s="2"/>
      <c r="W154" s="2"/>
      <c r="X154" s="2"/>
      <c r="Y154" s="2"/>
      <c r="Z154" s="2"/>
      <c r="AA154" s="2"/>
    </row>
    <row r="155" spans="1:536" ht="20.100000000000001" customHeight="1" x14ac:dyDescent="0.2">
      <c r="S155" s="2"/>
      <c r="U155" s="2"/>
      <c r="V155" s="2"/>
      <c r="W155" s="2"/>
      <c r="X155" s="2"/>
      <c r="Y155" s="2"/>
      <c r="Z155" s="2"/>
      <c r="AA155" s="2"/>
    </row>
    <row r="156" spans="1:536" ht="20.100000000000001" customHeight="1" x14ac:dyDescent="0.2">
      <c r="S156" s="2"/>
      <c r="U156" s="2"/>
      <c r="V156" s="2"/>
      <c r="W156" s="2"/>
      <c r="X156" s="2"/>
      <c r="Y156" s="2"/>
      <c r="Z156" s="2"/>
      <c r="AA156" s="2"/>
    </row>
    <row r="157" spans="1:536" ht="20.100000000000001" customHeight="1" x14ac:dyDescent="0.2">
      <c r="S157" s="2"/>
      <c r="U157" s="2"/>
      <c r="V157" s="2"/>
      <c r="W157" s="2"/>
      <c r="X157" s="2"/>
      <c r="Y157" s="2"/>
      <c r="Z157" s="2"/>
      <c r="AA157" s="2"/>
    </row>
    <row r="158" spans="1:536" ht="20.100000000000001" customHeight="1" x14ac:dyDescent="0.2">
      <c r="S158" s="2"/>
      <c r="U158" s="2"/>
      <c r="V158" s="2"/>
      <c r="W158" s="2"/>
      <c r="X158" s="2"/>
      <c r="Y158" s="2"/>
      <c r="Z158" s="2"/>
      <c r="AA158" s="2"/>
    </row>
    <row r="159" spans="1:536" ht="20.100000000000001" customHeight="1" x14ac:dyDescent="0.2">
      <c r="S159" s="2"/>
      <c r="U159" s="2"/>
      <c r="V159" s="2"/>
      <c r="W159" s="2"/>
      <c r="X159" s="2"/>
      <c r="Y159" s="2"/>
      <c r="Z159" s="2"/>
      <c r="AA159" s="2"/>
    </row>
    <row r="160" spans="1:536" ht="20.100000000000001" customHeight="1" x14ac:dyDescent="0.2">
      <c r="S160" s="2"/>
      <c r="U160" s="2"/>
      <c r="V160" s="2"/>
      <c r="W160" s="2"/>
      <c r="X160" s="2"/>
      <c r="Y160" s="2"/>
      <c r="Z160" s="2"/>
      <c r="AA160" s="2"/>
    </row>
    <row r="161" spans="1:536" ht="20.100000000000001" customHeight="1" x14ac:dyDescent="0.2">
      <c r="S161" s="2"/>
      <c r="U161" s="2"/>
      <c r="V161" s="2"/>
      <c r="W161" s="2"/>
      <c r="X161" s="2"/>
      <c r="Y161" s="2"/>
      <c r="Z161" s="2"/>
      <c r="AA161" s="2"/>
    </row>
    <row r="162" spans="1:536" ht="20.100000000000001" customHeight="1" x14ac:dyDescent="0.2">
      <c r="S162" s="2"/>
      <c r="U162" s="2"/>
      <c r="V162" s="2"/>
      <c r="W162" s="2"/>
      <c r="X162" s="2"/>
      <c r="Y162" s="2"/>
      <c r="Z162" s="2"/>
      <c r="AA162" s="2"/>
    </row>
    <row r="163" spans="1:536" ht="20.100000000000001" customHeight="1" x14ac:dyDescent="0.2">
      <c r="S163" s="2"/>
      <c r="U163" s="2"/>
      <c r="V163" s="2"/>
      <c r="W163" s="2"/>
      <c r="X163" s="2"/>
      <c r="Y163" s="2"/>
      <c r="Z163" s="2"/>
      <c r="AA163" s="2"/>
    </row>
    <row r="164" spans="1:536" ht="20.100000000000001" customHeight="1" x14ac:dyDescent="0.2">
      <c r="S164" s="2"/>
      <c r="U164" s="2"/>
      <c r="V164" s="2"/>
      <c r="W164" s="2"/>
      <c r="X164" s="2"/>
      <c r="Y164" s="2"/>
      <c r="Z164" s="2"/>
      <c r="AA164" s="2"/>
    </row>
    <row r="165" spans="1:536" ht="20.100000000000001" customHeight="1" thickBot="1" x14ac:dyDescent="0.25">
      <c r="C165" s="272" t="s">
        <v>123</v>
      </c>
      <c r="S165" s="2"/>
      <c r="U165" s="2"/>
      <c r="V165" s="2"/>
      <c r="W165" s="2"/>
      <c r="X165" s="2"/>
      <c r="Y165" s="2"/>
      <c r="Z165" s="2"/>
      <c r="AA165" s="2"/>
    </row>
    <row r="166" spans="1:536" s="3" customFormat="1" ht="20.100000000000001" customHeight="1" thickTop="1" x14ac:dyDescent="0.2">
      <c r="A166" s="2"/>
      <c r="B166" s="2"/>
      <c r="C166" s="2"/>
      <c r="D166" s="2"/>
      <c r="E166" s="2"/>
      <c r="F166" s="2"/>
      <c r="G166" s="2"/>
      <c r="H166" s="2"/>
      <c r="I166" s="2"/>
      <c r="J166" s="2"/>
      <c r="K166" s="7"/>
      <c r="L166" s="2"/>
      <c r="M166" s="2"/>
      <c r="N166" s="2"/>
      <c r="O166" s="2"/>
      <c r="P166" s="2"/>
      <c r="Q166" s="2"/>
      <c r="R166" s="2"/>
      <c r="S166" s="2"/>
      <c r="T166" s="2"/>
      <c r="U166" s="2"/>
      <c r="V166" s="2"/>
      <c r="W166" s="2"/>
      <c r="X166" s="2"/>
      <c r="Y166" s="2"/>
      <c r="Z166" s="2"/>
      <c r="AA166" s="2"/>
    </row>
    <row r="167" spans="1:536" ht="20.100000000000001" customHeight="1" x14ac:dyDescent="0.2">
      <c r="K167" s="7"/>
      <c r="S167" s="2"/>
      <c r="U167" s="2"/>
      <c r="V167" s="2"/>
      <c r="W167" s="2"/>
      <c r="X167" s="2"/>
      <c r="Y167" s="2"/>
      <c r="Z167" s="2"/>
      <c r="AA167" s="2"/>
    </row>
    <row r="168" spans="1:536" ht="20.100000000000001" customHeight="1" x14ac:dyDescent="0.2">
      <c r="K168" s="8"/>
      <c r="S168" s="2"/>
      <c r="U168" s="2"/>
      <c r="V168" s="2"/>
      <c r="W168" s="2"/>
      <c r="X168" s="2"/>
      <c r="Y168" s="2"/>
      <c r="Z168" s="2"/>
      <c r="AA168" s="2"/>
    </row>
    <row r="169" spans="1:536" ht="20.100000000000001" customHeight="1" x14ac:dyDescent="0.2">
      <c r="S169" s="2"/>
      <c r="U169" s="2"/>
      <c r="V169" s="2"/>
      <c r="W169" s="2"/>
      <c r="X169" s="2"/>
      <c r="Y169" s="2"/>
      <c r="Z169" s="2"/>
      <c r="AA169" s="2"/>
    </row>
    <row r="170" spans="1:536" ht="12.75" x14ac:dyDescent="0.2">
      <c r="I170"/>
      <c r="J170"/>
      <c r="S170" s="2"/>
      <c r="U170" s="2"/>
      <c r="V170" s="2"/>
      <c r="W170" s="2"/>
      <c r="X170" s="2"/>
      <c r="Y170" s="2"/>
      <c r="Z170" s="2"/>
      <c r="AA170" s="2"/>
    </row>
    <row r="171" spans="1:536" s="10" customFormat="1" ht="20.10000000000000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row>
    <row r="172" spans="1:536" s="10" customFormat="1" ht="20.10000000000000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row>
    <row r="173" spans="1:536" s="10" customFormat="1" ht="20.10000000000000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row>
    <row r="174" spans="1:536" ht="20.100000000000001" customHeight="1" x14ac:dyDescent="0.2">
      <c r="S174" s="2"/>
      <c r="U174" s="2"/>
      <c r="V174" s="2"/>
      <c r="W174" s="2"/>
      <c r="X174" s="2"/>
      <c r="Y174" s="2"/>
      <c r="Z174" s="2"/>
      <c r="AA174" s="2"/>
    </row>
    <row r="175" spans="1:536" ht="20.100000000000001" customHeight="1" x14ac:dyDescent="0.2">
      <c r="S175" s="2"/>
      <c r="U175" s="2"/>
      <c r="V175" s="2"/>
      <c r="W175" s="2"/>
      <c r="X175" s="2"/>
      <c r="Y175" s="2"/>
      <c r="Z175" s="2"/>
      <c r="AA175" s="2"/>
    </row>
    <row r="176" spans="1:536" ht="20.100000000000001" customHeight="1" x14ac:dyDescent="0.2">
      <c r="S176" s="2"/>
      <c r="U176" s="2"/>
      <c r="V176" s="2"/>
      <c r="W176" s="2"/>
      <c r="X176" s="2"/>
      <c r="Y176" s="2"/>
      <c r="Z176" s="2"/>
      <c r="AA176" s="2"/>
    </row>
    <row r="177" spans="3:27" ht="20.100000000000001" customHeight="1" x14ac:dyDescent="0.2">
      <c r="S177" s="2"/>
      <c r="U177" s="2"/>
      <c r="V177" s="2"/>
      <c r="W177" s="2"/>
      <c r="X177" s="2"/>
      <c r="Y177" s="2"/>
      <c r="Z177" s="2"/>
      <c r="AA177" s="2"/>
    </row>
    <row r="178" spans="3:27" ht="20.100000000000001" customHeight="1" x14ac:dyDescent="0.2">
      <c r="S178" s="2"/>
      <c r="U178" s="2"/>
      <c r="V178" s="2"/>
      <c r="W178" s="2"/>
      <c r="X178" s="2"/>
      <c r="Y178" s="2"/>
      <c r="Z178" s="2"/>
      <c r="AA178" s="2"/>
    </row>
    <row r="179" spans="3:27" ht="20.100000000000001" customHeight="1" x14ac:dyDescent="0.2">
      <c r="S179" s="2"/>
      <c r="U179" s="2"/>
      <c r="V179" s="2"/>
      <c r="W179" s="2"/>
      <c r="X179" s="2"/>
      <c r="Y179" s="2"/>
      <c r="Z179" s="2"/>
      <c r="AA179" s="2"/>
    </row>
    <row r="180" spans="3:27" ht="20.100000000000001" customHeight="1" x14ac:dyDescent="0.2">
      <c r="S180" s="2"/>
      <c r="U180" s="2"/>
      <c r="V180" s="2"/>
      <c r="W180" s="2"/>
      <c r="X180" s="2"/>
      <c r="Y180" s="2"/>
      <c r="Z180" s="2"/>
      <c r="AA180" s="2"/>
    </row>
    <row r="181" spans="3:27" ht="20.100000000000001" customHeight="1" x14ac:dyDescent="0.2">
      <c r="S181" s="2"/>
      <c r="U181" s="2"/>
      <c r="V181" s="2"/>
      <c r="W181" s="2"/>
      <c r="X181" s="2"/>
      <c r="Y181" s="2"/>
      <c r="Z181" s="2"/>
      <c r="AA181" s="2"/>
    </row>
    <row r="182" spans="3:27" ht="20.100000000000001" customHeight="1" x14ac:dyDescent="0.2">
      <c r="S182" s="2"/>
      <c r="U182" s="2"/>
      <c r="V182" s="2"/>
      <c r="W182" s="2"/>
      <c r="X182" s="2"/>
      <c r="Y182" s="2"/>
      <c r="Z182" s="2"/>
      <c r="AA182" s="2"/>
    </row>
    <row r="183" spans="3:27" ht="20.100000000000001" customHeight="1" x14ac:dyDescent="0.2">
      <c r="S183" s="2"/>
      <c r="U183" s="2"/>
      <c r="V183" s="2"/>
      <c r="W183" s="2"/>
      <c r="X183" s="2"/>
      <c r="Y183" s="2"/>
      <c r="Z183" s="2"/>
      <c r="AA183" s="2"/>
    </row>
    <row r="184" spans="3:27" ht="20.100000000000001" customHeight="1" x14ac:dyDescent="0.2">
      <c r="S184" s="2"/>
      <c r="U184" s="2"/>
      <c r="V184" s="2"/>
      <c r="W184" s="2"/>
      <c r="X184" s="2"/>
      <c r="Y184" s="2"/>
      <c r="Z184" s="2"/>
      <c r="AA184" s="2"/>
    </row>
    <row r="185" spans="3:27" ht="20.100000000000001" customHeight="1" x14ac:dyDescent="0.2">
      <c r="S185" s="2"/>
      <c r="U185" s="2"/>
      <c r="V185" s="2"/>
      <c r="W185" s="2"/>
      <c r="X185" s="2"/>
      <c r="Y185" s="2"/>
      <c r="Z185" s="2"/>
      <c r="AA185" s="2"/>
    </row>
    <row r="186" spans="3:27" ht="20.100000000000001" customHeight="1" x14ac:dyDescent="0.2">
      <c r="S186" s="2"/>
      <c r="U186" s="2"/>
      <c r="V186" s="2"/>
      <c r="W186" s="2"/>
      <c r="X186" s="2"/>
      <c r="Y186" s="2"/>
      <c r="Z186" s="2"/>
      <c r="AA186" s="2"/>
    </row>
    <row r="187" spans="3:27" ht="20.100000000000001" customHeight="1" x14ac:dyDescent="0.2">
      <c r="S187" s="2"/>
      <c r="U187" s="2"/>
      <c r="V187" s="2"/>
      <c r="W187" s="2"/>
      <c r="X187" s="2"/>
      <c r="Y187" s="2"/>
      <c r="Z187" s="2"/>
      <c r="AA187" s="2"/>
    </row>
    <row r="188" spans="3:27" ht="20.100000000000001" customHeight="1" x14ac:dyDescent="0.2">
      <c r="S188" s="2"/>
      <c r="U188" s="2"/>
      <c r="V188" s="2"/>
      <c r="W188" s="2"/>
      <c r="X188" s="2"/>
      <c r="Y188" s="2"/>
      <c r="Z188" s="2"/>
      <c r="AA188" s="2"/>
    </row>
    <row r="189" spans="3:27" ht="20.100000000000001" customHeight="1" thickBot="1" x14ac:dyDescent="0.25">
      <c r="C189" s="272" t="s">
        <v>128</v>
      </c>
      <c r="S189" s="2"/>
      <c r="U189" s="2"/>
      <c r="V189" s="2"/>
      <c r="W189" s="2"/>
      <c r="X189" s="2"/>
      <c r="Y189" s="2"/>
      <c r="Z189" s="2"/>
      <c r="AA189" s="2"/>
    </row>
    <row r="190" spans="3:27" ht="20.100000000000001" customHeight="1" thickTop="1" x14ac:dyDescent="0.2">
      <c r="S190" s="2"/>
      <c r="U190" s="2"/>
      <c r="V190" s="2"/>
      <c r="W190" s="2"/>
      <c r="X190" s="2"/>
      <c r="Y190" s="2"/>
      <c r="Z190" s="2"/>
      <c r="AA190" s="2"/>
    </row>
    <row r="191" spans="3:27" ht="20.100000000000001" customHeight="1" x14ac:dyDescent="0.2">
      <c r="O191"/>
      <c r="P191"/>
      <c r="S191" s="2"/>
      <c r="U191" s="2"/>
      <c r="V191" s="2"/>
      <c r="W191" s="2"/>
      <c r="X191" s="2"/>
      <c r="Y191" s="2"/>
      <c r="Z191" s="2"/>
      <c r="AA191" s="2"/>
    </row>
    <row r="192" spans="3:27" ht="12.75" x14ac:dyDescent="0.2">
      <c r="S192" s="2"/>
      <c r="U192" s="2"/>
      <c r="V192" s="2"/>
      <c r="W192" s="2"/>
      <c r="X192" s="2"/>
      <c r="Y192" s="2"/>
      <c r="Z192" s="2"/>
      <c r="AA192" s="2"/>
    </row>
    <row r="193" spans="9:27" ht="12.75" x14ac:dyDescent="0.2">
      <c r="I193"/>
      <c r="J193"/>
      <c r="O193"/>
      <c r="P193"/>
      <c r="Q193"/>
      <c r="R193"/>
      <c r="S193"/>
      <c r="U193" s="2"/>
      <c r="V193" s="2"/>
      <c r="W193" s="2"/>
      <c r="X193" s="2"/>
      <c r="Y193" s="2"/>
      <c r="Z193" s="2"/>
      <c r="AA193" s="2"/>
    </row>
    <row r="194" spans="9:27" ht="20.25" x14ac:dyDescent="0.2">
      <c r="I194" s="15"/>
      <c r="J194" s="15"/>
      <c r="O194"/>
      <c r="P194"/>
      <c r="Q194"/>
      <c r="R194"/>
      <c r="S194"/>
      <c r="U194" s="2"/>
      <c r="V194" s="2"/>
      <c r="W194" s="2"/>
      <c r="X194" s="2"/>
      <c r="Y194" s="2"/>
      <c r="Z194" s="2"/>
      <c r="AA194" s="2"/>
    </row>
    <row r="195" spans="9:27" ht="12.75" x14ac:dyDescent="0.2">
      <c r="I195"/>
      <c r="J195"/>
      <c r="K195"/>
      <c r="L195"/>
      <c r="M195" s="1"/>
      <c r="N195" s="32"/>
      <c r="O195" s="1"/>
      <c r="P195" s="1"/>
      <c r="Q195" s="1"/>
      <c r="R195" s="1"/>
      <c r="S195" s="1"/>
      <c r="T195" s="32"/>
      <c r="U195" s="32"/>
      <c r="V195" s="32"/>
      <c r="W195" s="32"/>
      <c r="X195" s="32"/>
      <c r="Y195" s="32"/>
      <c r="Z195" s="32"/>
      <c r="AA195" s="32"/>
    </row>
    <row r="196" spans="9:27" ht="12.75" x14ac:dyDescent="0.2">
      <c r="I196"/>
      <c r="J196"/>
      <c r="K196"/>
      <c r="L196"/>
      <c r="M196"/>
      <c r="O196"/>
      <c r="P196"/>
      <c r="Q196"/>
      <c r="R196"/>
      <c r="S196"/>
      <c r="U196" s="2"/>
      <c r="V196" s="2"/>
      <c r="W196" s="2"/>
      <c r="X196" s="2"/>
      <c r="Y196" s="2"/>
      <c r="Z196" s="2"/>
      <c r="AA196" s="2"/>
    </row>
    <row r="197" spans="9:27" ht="12.75" x14ac:dyDescent="0.2">
      <c r="I197"/>
      <c r="J197"/>
      <c r="K197"/>
      <c r="L197"/>
      <c r="M197"/>
      <c r="O197"/>
      <c r="P197"/>
      <c r="Q197"/>
      <c r="R197"/>
      <c r="S197"/>
      <c r="U197" s="2"/>
      <c r="V197" s="2"/>
      <c r="W197" s="2"/>
      <c r="X197" s="2"/>
      <c r="Y197" s="2"/>
      <c r="Z197" s="2"/>
      <c r="AA197" s="2"/>
    </row>
    <row r="198" spans="9:27" ht="12.75" x14ac:dyDescent="0.2">
      <c r="I198"/>
      <c r="J198"/>
      <c r="K198"/>
      <c r="L198"/>
      <c r="M198"/>
      <c r="O198"/>
      <c r="P198"/>
      <c r="Q198"/>
      <c r="R198"/>
      <c r="S198"/>
      <c r="U198" s="2"/>
      <c r="V198" s="2"/>
      <c r="W198" s="2"/>
      <c r="X198" s="2"/>
      <c r="Y198" s="2"/>
      <c r="Z198" s="2"/>
      <c r="AA198" s="2"/>
    </row>
    <row r="199" spans="9:27" ht="12.75" x14ac:dyDescent="0.2">
      <c r="I199"/>
      <c r="J199"/>
      <c r="K199"/>
      <c r="L199"/>
      <c r="M199"/>
      <c r="O199"/>
      <c r="P199"/>
      <c r="Q199"/>
      <c r="S199" s="2"/>
      <c r="U199" s="2"/>
      <c r="V199" s="2"/>
      <c r="W199" s="2"/>
      <c r="X199" s="2"/>
      <c r="Y199" s="2"/>
      <c r="Z199" s="2"/>
      <c r="AA199" s="2"/>
    </row>
    <row r="200" spans="9:27" ht="20.100000000000001" customHeight="1" x14ac:dyDescent="0.2">
      <c r="I200"/>
      <c r="J200"/>
      <c r="K200"/>
      <c r="O200"/>
      <c r="P200"/>
      <c r="Q200"/>
      <c r="S200" s="2"/>
      <c r="U200" s="2"/>
      <c r="V200" s="2"/>
      <c r="W200" s="2"/>
      <c r="X200" s="2"/>
      <c r="Y200" s="2"/>
      <c r="Z200" s="2"/>
      <c r="AA200" s="2"/>
    </row>
    <row r="201" spans="9:27" ht="20.100000000000001" customHeight="1" x14ac:dyDescent="0.2">
      <c r="I201"/>
      <c r="J201"/>
      <c r="K201"/>
      <c r="O201"/>
      <c r="P201"/>
      <c r="Q201"/>
      <c r="S201" s="2"/>
      <c r="U201" s="2"/>
      <c r="V201" s="2"/>
      <c r="W201" s="2"/>
      <c r="X201" s="2"/>
      <c r="Y201" s="2"/>
      <c r="Z201" s="2"/>
      <c r="AA201" s="2"/>
    </row>
    <row r="202" spans="9:27" ht="20.100000000000001" customHeight="1" x14ac:dyDescent="0.2">
      <c r="I202"/>
      <c r="J202"/>
      <c r="K202"/>
      <c r="O202"/>
      <c r="P202"/>
      <c r="Q202"/>
      <c r="S202" s="2"/>
      <c r="U202" s="2"/>
      <c r="V202" s="2"/>
      <c r="W202" s="2"/>
      <c r="X202" s="2"/>
      <c r="Y202" s="2"/>
      <c r="Z202" s="2"/>
      <c r="AA202" s="2"/>
    </row>
    <row r="203" spans="9:27" ht="20.100000000000001" customHeight="1" x14ac:dyDescent="0.2">
      <c r="I203"/>
      <c r="J203"/>
      <c r="K203"/>
      <c r="O203"/>
      <c r="P203"/>
      <c r="Q203"/>
      <c r="S203" s="2"/>
      <c r="U203" s="2"/>
      <c r="V203" s="2"/>
      <c r="W203" s="2"/>
      <c r="X203" s="2"/>
      <c r="Y203" s="2"/>
      <c r="Z203" s="2"/>
      <c r="AA203" s="2"/>
    </row>
    <row r="204" spans="9:27" ht="20.100000000000001" customHeight="1" x14ac:dyDescent="0.2">
      <c r="I204"/>
      <c r="J204"/>
      <c r="K204"/>
      <c r="O204"/>
      <c r="P204"/>
      <c r="Q204"/>
      <c r="S204" s="2"/>
      <c r="U204" s="2"/>
      <c r="V204" s="2"/>
      <c r="W204" s="2"/>
      <c r="X204" s="2"/>
      <c r="Y204" s="2"/>
      <c r="Z204" s="2"/>
      <c r="AA204" s="2"/>
    </row>
    <row r="205" spans="9:27" ht="20.100000000000001" customHeight="1" x14ac:dyDescent="0.2">
      <c r="I205"/>
      <c r="J205"/>
      <c r="K205"/>
      <c r="O205"/>
      <c r="P205"/>
      <c r="Q205"/>
      <c r="S205" s="2"/>
      <c r="U205" s="2"/>
      <c r="V205" s="2"/>
      <c r="W205" s="2"/>
      <c r="X205" s="2"/>
      <c r="Y205" s="2"/>
      <c r="Z205" s="2"/>
      <c r="AA205" s="2"/>
    </row>
    <row r="206" spans="9:27" ht="20.100000000000001" customHeight="1" x14ac:dyDescent="0.2">
      <c r="I206"/>
      <c r="J206"/>
      <c r="K206"/>
      <c r="O206"/>
      <c r="P206"/>
      <c r="Q206"/>
      <c r="S206" s="2"/>
      <c r="U206" s="2"/>
      <c r="V206" s="2"/>
      <c r="W206" s="2"/>
      <c r="X206" s="2"/>
      <c r="Y206" s="2"/>
      <c r="Z206" s="2"/>
      <c r="AA206" s="2"/>
    </row>
    <row r="207" spans="9:27" ht="20.100000000000001" customHeight="1" x14ac:dyDescent="0.2">
      <c r="I207"/>
      <c r="J207"/>
      <c r="K207"/>
      <c r="O207"/>
      <c r="P207"/>
      <c r="Q207"/>
      <c r="S207" s="2"/>
      <c r="U207" s="2"/>
      <c r="V207" s="2"/>
      <c r="W207" s="2"/>
      <c r="X207" s="2"/>
      <c r="Y207" s="2"/>
      <c r="Z207" s="2"/>
      <c r="AA207" s="2"/>
    </row>
    <row r="208" spans="9:27" ht="12.75" x14ac:dyDescent="0.2">
      <c r="I208"/>
      <c r="J208"/>
      <c r="K208"/>
      <c r="O208"/>
      <c r="P208"/>
      <c r="Q208"/>
      <c r="S208" s="2"/>
      <c r="U208" s="2"/>
      <c r="V208" s="2"/>
      <c r="W208" s="2"/>
      <c r="X208" s="2"/>
      <c r="Y208" s="2"/>
      <c r="Z208" s="2"/>
      <c r="AA208" s="2"/>
    </row>
    <row r="209" spans="3:27" ht="20.25" x14ac:dyDescent="0.3">
      <c r="C209" s="290" t="s">
        <v>17</v>
      </c>
      <c r="D209" s="120" t="s" vm="1">
        <v>27</v>
      </c>
      <c r="E209" s="15"/>
      <c r="I209"/>
      <c r="J209"/>
      <c r="K209"/>
      <c r="O209"/>
      <c r="P209"/>
      <c r="Q209"/>
      <c r="S209" s="2"/>
      <c r="U209" s="2"/>
      <c r="V209" s="2"/>
      <c r="W209" s="2"/>
      <c r="X209" s="2"/>
      <c r="Y209" s="2"/>
      <c r="Z209" s="2"/>
      <c r="AA209" s="2"/>
    </row>
    <row r="210" spans="3:27" ht="20.25" x14ac:dyDescent="0.2">
      <c r="C210" s="15"/>
      <c r="D210" s="15"/>
      <c r="E210" s="15"/>
      <c r="F210"/>
      <c r="G210"/>
      <c r="H210"/>
      <c r="I210"/>
      <c r="J210"/>
      <c r="K210"/>
      <c r="O210"/>
      <c r="P210"/>
      <c r="Q210"/>
      <c r="S210" s="2"/>
      <c r="U210" s="2"/>
      <c r="V210" s="2"/>
      <c r="W210" s="2"/>
      <c r="X210" s="2"/>
      <c r="Y210" s="2"/>
      <c r="Z210" s="2"/>
      <c r="AA210" s="2"/>
    </row>
    <row r="211" spans="3:27" ht="20.25" x14ac:dyDescent="0.3">
      <c r="C211" s="290" t="s">
        <v>125</v>
      </c>
      <c r="D211" s="120"/>
      <c r="E211"/>
      <c r="F211"/>
      <c r="G211"/>
      <c r="H211"/>
      <c r="I211"/>
      <c r="J211" s="1"/>
      <c r="K211" s="1"/>
      <c r="L211" s="32"/>
      <c r="M211" s="32"/>
      <c r="N211" s="32"/>
      <c r="O211" s="32"/>
      <c r="P211" s="32"/>
      <c r="Q211" s="32"/>
      <c r="R211" s="32"/>
      <c r="S211" s="32"/>
      <c r="T211" s="32"/>
      <c r="U211" s="32"/>
      <c r="V211" s="32"/>
      <c r="W211" s="32"/>
      <c r="X211" s="32"/>
      <c r="Y211" s="32"/>
      <c r="Z211" s="32"/>
      <c r="AA211" s="32"/>
    </row>
    <row r="212" spans="3:27" ht="20.25" x14ac:dyDescent="0.3">
      <c r="C212" s="120"/>
      <c r="D212" s="120"/>
      <c r="E212"/>
      <c r="F212"/>
      <c r="G212"/>
      <c r="H212"/>
      <c r="I212"/>
      <c r="J212"/>
      <c r="K212"/>
      <c r="S212" s="2"/>
      <c r="U212" s="2"/>
      <c r="V212" s="2"/>
      <c r="W212" s="2"/>
      <c r="X212" s="2"/>
      <c r="Y212" s="2"/>
      <c r="Z212" s="2"/>
      <c r="AA212" s="2"/>
    </row>
    <row r="213" spans="3:27" ht="12.75" x14ac:dyDescent="0.2">
      <c r="C213"/>
      <c r="D213"/>
      <c r="E213"/>
      <c r="F213"/>
      <c r="G213"/>
      <c r="H213"/>
      <c r="I213"/>
      <c r="S213" s="2"/>
      <c r="U213" s="2"/>
      <c r="V213" s="2"/>
      <c r="W213" s="2"/>
      <c r="X213" s="2"/>
      <c r="Y213" s="2"/>
      <c r="Z213" s="2"/>
      <c r="AA213" s="2"/>
    </row>
    <row r="214" spans="3:27" ht="12.75" x14ac:dyDescent="0.2">
      <c r="C214"/>
      <c r="D214"/>
      <c r="E214"/>
      <c r="F214"/>
      <c r="G214"/>
      <c r="H214"/>
      <c r="I214"/>
      <c r="S214" s="2"/>
      <c r="U214" s="2"/>
      <c r="V214" s="2"/>
      <c r="W214" s="2"/>
      <c r="X214" s="2"/>
      <c r="Y214" s="2"/>
      <c r="Z214" s="2"/>
      <c r="AA214" s="2"/>
    </row>
    <row r="215" spans="3:27" ht="12.75" x14ac:dyDescent="0.2">
      <c r="F215"/>
      <c r="G215"/>
      <c r="H215"/>
      <c r="I215"/>
      <c r="S215" s="2"/>
      <c r="U215" s="2"/>
      <c r="V215" s="2"/>
      <c r="W215" s="2"/>
      <c r="X215" s="2"/>
      <c r="Y215" s="2"/>
      <c r="Z215" s="2"/>
      <c r="AA215" s="2"/>
    </row>
    <row r="216" spans="3:27" ht="12.75" x14ac:dyDescent="0.2">
      <c r="C216"/>
      <c r="D216"/>
      <c r="E216"/>
      <c r="F216"/>
      <c r="G216"/>
      <c r="H216"/>
      <c r="I216"/>
      <c r="S216" s="2"/>
      <c r="U216" s="2"/>
      <c r="V216" s="2"/>
      <c r="W216" s="2"/>
      <c r="X216" s="2"/>
      <c r="Y216" s="2"/>
      <c r="Z216" s="2"/>
      <c r="AA216" s="2"/>
    </row>
    <row r="217" spans="3:27" ht="12.75" x14ac:dyDescent="0.2">
      <c r="C217"/>
      <c r="D217"/>
      <c r="E217"/>
      <c r="F217"/>
      <c r="G217"/>
      <c r="H217"/>
      <c r="I217"/>
      <c r="S217" s="2"/>
      <c r="U217" s="2"/>
      <c r="V217" s="2"/>
      <c r="W217" s="2"/>
      <c r="X217" s="2"/>
      <c r="Y217" s="2"/>
      <c r="Z217" s="2"/>
      <c r="AA217" s="2"/>
    </row>
    <row r="218" spans="3:27" ht="20.100000000000001" customHeight="1" x14ac:dyDescent="0.2">
      <c r="C218"/>
      <c r="D218"/>
      <c r="E218"/>
      <c r="F218"/>
      <c r="G218"/>
      <c r="H218"/>
      <c r="I218"/>
      <c r="S218" s="2"/>
      <c r="U218" s="2"/>
      <c r="V218" s="2"/>
      <c r="W218" s="2"/>
      <c r="X218" s="2"/>
      <c r="Y218" s="2"/>
      <c r="Z218" s="2"/>
      <c r="AA218" s="2"/>
    </row>
    <row r="219" spans="3:27" ht="20.100000000000001" customHeight="1" x14ac:dyDescent="0.2">
      <c r="C219"/>
      <c r="D219"/>
      <c r="E219"/>
      <c r="F219"/>
      <c r="G219"/>
      <c r="H219"/>
      <c r="I219"/>
      <c r="S219" s="2"/>
      <c r="U219" s="2"/>
      <c r="V219" s="2"/>
      <c r="W219" s="2"/>
      <c r="X219" s="2"/>
      <c r="Y219" s="2"/>
      <c r="Z219" s="2"/>
      <c r="AA219" s="2"/>
    </row>
    <row r="220" spans="3:27" ht="20.100000000000001" customHeight="1" x14ac:dyDescent="0.2">
      <c r="C220"/>
      <c r="D220"/>
      <c r="E220"/>
      <c r="F220"/>
      <c r="G220"/>
      <c r="H220"/>
      <c r="I220"/>
      <c r="S220" s="2"/>
      <c r="U220" s="2"/>
      <c r="V220" s="2"/>
      <c r="W220" s="2"/>
      <c r="X220" s="2"/>
      <c r="Y220" s="2"/>
      <c r="Z220" s="2"/>
      <c r="AA220" s="2"/>
    </row>
    <row r="221" spans="3:27" ht="20.100000000000001" customHeight="1" x14ac:dyDescent="0.2">
      <c r="C221"/>
      <c r="D221"/>
      <c r="E221"/>
      <c r="F221"/>
      <c r="G221"/>
      <c r="H221"/>
      <c r="I221"/>
      <c r="U221" s="2"/>
      <c r="V221" s="2"/>
      <c r="W221" s="2"/>
      <c r="X221" s="2"/>
      <c r="Y221" s="2"/>
      <c r="Z221" s="2"/>
      <c r="AA221" s="2"/>
    </row>
    <row r="222" spans="3:27" ht="20.100000000000001" customHeight="1" x14ac:dyDescent="0.2">
      <c r="C222"/>
      <c r="D222"/>
      <c r="E222"/>
      <c r="U222" s="2"/>
      <c r="V222" s="2"/>
      <c r="W222" s="2"/>
      <c r="X222" s="2"/>
      <c r="Y222" s="2"/>
      <c r="Z222" s="2"/>
      <c r="AA222" s="2"/>
    </row>
    <row r="223" spans="3:27" ht="20.100000000000001" customHeight="1" x14ac:dyDescent="0.2">
      <c r="C223"/>
      <c r="D223"/>
      <c r="E223"/>
      <c r="U223" s="2"/>
      <c r="V223" s="2"/>
      <c r="W223" s="2"/>
      <c r="X223" s="2"/>
      <c r="Y223" s="2"/>
      <c r="Z223" s="2"/>
      <c r="AA223" s="2"/>
    </row>
    <row r="224" spans="3:27" ht="20.100000000000001" customHeight="1" x14ac:dyDescent="0.2">
      <c r="C224"/>
      <c r="D224"/>
      <c r="E224"/>
      <c r="U224" s="2"/>
      <c r="V224" s="2"/>
      <c r="W224" s="2"/>
      <c r="X224" s="2"/>
      <c r="Y224" s="2"/>
      <c r="Z224" s="2"/>
      <c r="AA224" s="2"/>
    </row>
    <row r="225" spans="3:27" ht="20.100000000000001" customHeight="1" x14ac:dyDescent="0.2">
      <c r="C225"/>
      <c r="D225"/>
      <c r="E225"/>
      <c r="U225" s="2"/>
      <c r="V225" s="2"/>
      <c r="W225" s="2"/>
      <c r="X225" s="2"/>
      <c r="Y225" s="2"/>
      <c r="Z225" s="2"/>
      <c r="AA225" s="2"/>
    </row>
    <row r="226" spans="3:27" ht="20.100000000000001" customHeight="1" x14ac:dyDescent="0.2">
      <c r="U226" s="2"/>
      <c r="V226" s="2"/>
      <c r="W226" s="2"/>
      <c r="X226" s="2"/>
      <c r="Y226" s="2"/>
      <c r="Z226" s="2"/>
      <c r="AA226" s="2"/>
    </row>
    <row r="227" spans="3:27" ht="20.100000000000001" customHeight="1" x14ac:dyDescent="0.2">
      <c r="U227" s="2"/>
      <c r="V227" s="2"/>
      <c r="W227" s="2"/>
      <c r="X227" s="2"/>
      <c r="Y227" s="2"/>
      <c r="Z227" s="2"/>
      <c r="AA227" s="2"/>
    </row>
    <row r="228" spans="3:27" ht="20.100000000000001" customHeight="1" x14ac:dyDescent="0.2">
      <c r="U228" s="2"/>
      <c r="V228" s="2"/>
      <c r="W228" s="2"/>
      <c r="X228" s="2"/>
      <c r="Y228" s="2"/>
      <c r="Z228" s="2"/>
      <c r="AA228" s="2"/>
    </row>
    <row r="229" spans="3:27" ht="20.100000000000001" customHeight="1" x14ac:dyDescent="0.2">
      <c r="U229" s="2"/>
      <c r="V229" s="2"/>
      <c r="W229" s="2"/>
      <c r="X229" s="2"/>
      <c r="Y229" s="2"/>
      <c r="Z229" s="2"/>
      <c r="AA229" s="2"/>
    </row>
    <row r="230" spans="3:27" ht="24" thickBot="1" x14ac:dyDescent="0.25">
      <c r="C230" s="282" t="s">
        <v>34</v>
      </c>
      <c r="D230" s="270"/>
      <c r="U230" s="2"/>
      <c r="V230" s="2"/>
      <c r="W230" s="2"/>
      <c r="X230" s="2"/>
      <c r="Y230" s="2"/>
      <c r="Z230" s="2"/>
      <c r="AA230" s="2"/>
    </row>
    <row r="231" spans="3:27" ht="21" thickTop="1" x14ac:dyDescent="0.2">
      <c r="C231" s="201"/>
      <c r="D231" s="269"/>
      <c r="U231" s="2"/>
      <c r="V231" s="2"/>
      <c r="W231" s="2"/>
      <c r="X231" s="2"/>
      <c r="Y231" s="2"/>
      <c r="Z231" s="2"/>
      <c r="AA231" s="2"/>
    </row>
    <row r="232" spans="3:27" ht="20.100000000000001" customHeight="1" thickBot="1" x14ac:dyDescent="0.25">
      <c r="C232" s="271" t="s">
        <v>124</v>
      </c>
      <c r="D232" s="270"/>
      <c r="U232" s="2"/>
      <c r="V232" s="2"/>
      <c r="W232" s="2"/>
      <c r="X232" s="2"/>
      <c r="Y232" s="2"/>
      <c r="Z232" s="2"/>
      <c r="AA232" s="2"/>
    </row>
    <row r="233" spans="3:27" ht="20.100000000000001" customHeight="1" thickTop="1" x14ac:dyDescent="0.2">
      <c r="U233" s="2"/>
      <c r="V233" s="2"/>
      <c r="W233" s="2"/>
      <c r="X233" s="2"/>
      <c r="Y233" s="2"/>
      <c r="Z233" s="2"/>
      <c r="AA233" s="2"/>
    </row>
    <row r="234" spans="3:27" ht="20.100000000000001" customHeight="1" x14ac:dyDescent="0.2">
      <c r="U234" s="2"/>
      <c r="V234" s="2"/>
      <c r="W234" s="2"/>
      <c r="X234" s="2"/>
      <c r="Y234" s="2"/>
      <c r="Z234" s="2"/>
      <c r="AA234" s="2"/>
    </row>
    <row r="235" spans="3:27" ht="20.100000000000001" customHeight="1" x14ac:dyDescent="0.2">
      <c r="U235" s="2"/>
      <c r="V235" s="2"/>
      <c r="W235" s="2"/>
      <c r="X235" s="2"/>
      <c r="Y235" s="2"/>
      <c r="Z235" s="2"/>
      <c r="AA235" s="2"/>
    </row>
    <row r="236" spans="3:27" ht="20.100000000000001" customHeight="1" x14ac:dyDescent="0.2">
      <c r="U236" s="2"/>
      <c r="V236" s="2"/>
      <c r="W236" s="2"/>
      <c r="X236" s="2"/>
      <c r="Y236" s="2"/>
      <c r="Z236" s="2"/>
      <c r="AA236" s="2"/>
    </row>
    <row r="237" spans="3:27" ht="20.100000000000001" customHeight="1" x14ac:dyDescent="0.2">
      <c r="U237" s="2"/>
      <c r="V237" s="2"/>
      <c r="W237" s="2"/>
      <c r="X237" s="2"/>
      <c r="Y237" s="2"/>
      <c r="Z237" s="2"/>
      <c r="AA237" s="2"/>
    </row>
    <row r="238" spans="3:27" ht="20.100000000000001" customHeight="1" x14ac:dyDescent="0.2">
      <c r="U238" s="2"/>
      <c r="V238" s="2"/>
      <c r="W238" s="2"/>
      <c r="X238" s="2"/>
      <c r="Y238" s="2"/>
      <c r="Z238" s="2"/>
      <c r="AA238" s="2"/>
    </row>
    <row r="239" spans="3:27" ht="20.100000000000001" customHeight="1" x14ac:dyDescent="0.2">
      <c r="U239" s="2"/>
      <c r="V239" s="2"/>
      <c r="W239" s="2"/>
      <c r="X239" s="2"/>
      <c r="Y239" s="2"/>
      <c r="Z239" s="2"/>
      <c r="AA239" s="2"/>
    </row>
    <row r="240" spans="3:27" ht="20.100000000000001" customHeight="1" x14ac:dyDescent="0.2">
      <c r="U240" s="2"/>
      <c r="V240" s="2"/>
      <c r="W240" s="2"/>
      <c r="X240" s="2"/>
      <c r="Y240" s="2"/>
      <c r="Z240" s="2"/>
      <c r="AA240" s="2"/>
    </row>
    <row r="241" spans="21:27" ht="20.100000000000001" customHeight="1" x14ac:dyDescent="0.2">
      <c r="U241" s="2"/>
      <c r="V241" s="2"/>
      <c r="W241" s="2"/>
      <c r="X241" s="2"/>
      <c r="Y241" s="2"/>
      <c r="Z241" s="2"/>
      <c r="AA241" s="2"/>
    </row>
    <row r="242" spans="21:27" ht="20.100000000000001" customHeight="1" x14ac:dyDescent="0.2">
      <c r="U242" s="2"/>
      <c r="V242" s="2"/>
      <c r="W242" s="2"/>
      <c r="X242" s="2"/>
      <c r="Y242" s="2"/>
      <c r="Z242" s="2"/>
      <c r="AA242" s="2"/>
    </row>
    <row r="243" spans="21:27" ht="20.100000000000001" customHeight="1" x14ac:dyDescent="0.2">
      <c r="U243" s="2"/>
      <c r="V243" s="2"/>
      <c r="W243" s="2"/>
      <c r="X243" s="2"/>
      <c r="Y243" s="2"/>
      <c r="Z243" s="2"/>
      <c r="AA243" s="2"/>
    </row>
    <row r="244" spans="21:27" ht="20.100000000000001" customHeight="1" x14ac:dyDescent="0.2">
      <c r="U244" s="2"/>
      <c r="V244" s="2"/>
      <c r="W244" s="2"/>
      <c r="X244" s="2"/>
      <c r="Y244" s="2"/>
      <c r="Z244" s="2"/>
      <c r="AA244" s="2"/>
    </row>
    <row r="245" spans="21:27" ht="20.100000000000001" customHeight="1" x14ac:dyDescent="0.2">
      <c r="U245" s="2"/>
      <c r="V245" s="2"/>
      <c r="W245" s="2"/>
      <c r="X245" s="2"/>
      <c r="Y245" s="2"/>
      <c r="Z245" s="2"/>
      <c r="AA245" s="2"/>
    </row>
    <row r="246" spans="21:27" ht="20.100000000000001" customHeight="1" x14ac:dyDescent="0.2">
      <c r="U246" s="2"/>
      <c r="V246" s="2"/>
      <c r="W246" s="2"/>
      <c r="X246" s="2"/>
      <c r="Y246" s="2"/>
      <c r="Z246" s="2"/>
      <c r="AA246" s="2"/>
    </row>
    <row r="247" spans="21:27" ht="20.100000000000001" customHeight="1" x14ac:dyDescent="0.2">
      <c r="U247" s="2"/>
      <c r="V247" s="2"/>
      <c r="W247" s="2"/>
      <c r="X247" s="2"/>
      <c r="Y247" s="2"/>
      <c r="Z247" s="2"/>
      <c r="AA247" s="2"/>
    </row>
    <row r="248" spans="21:27" ht="20.100000000000001" customHeight="1" x14ac:dyDescent="0.2">
      <c r="U248" s="2"/>
      <c r="V248" s="2"/>
      <c r="W248" s="2"/>
      <c r="X248" s="2"/>
      <c r="Y248" s="2"/>
      <c r="Z248" s="2"/>
      <c r="AA248" s="2"/>
    </row>
    <row r="249" spans="21:27" ht="20.100000000000001" customHeight="1" x14ac:dyDescent="0.2">
      <c r="U249" s="2"/>
      <c r="V249" s="2"/>
      <c r="W249" s="2"/>
      <c r="X249" s="2"/>
      <c r="Y249" s="2"/>
      <c r="Z249" s="2"/>
      <c r="AA249" s="2"/>
    </row>
    <row r="250" spans="21:27" ht="20.100000000000001" customHeight="1" x14ac:dyDescent="0.2">
      <c r="U250" s="2"/>
      <c r="V250" s="2"/>
      <c r="W250" s="2"/>
      <c r="X250" s="2"/>
      <c r="Y250" s="2"/>
      <c r="Z250" s="2"/>
      <c r="AA250" s="2"/>
    </row>
    <row r="251" spans="21:27" ht="20.100000000000001" customHeight="1" x14ac:dyDescent="0.2">
      <c r="U251" s="2"/>
      <c r="V251" s="2"/>
      <c r="W251" s="2"/>
      <c r="X251" s="2"/>
      <c r="Y251" s="2"/>
      <c r="Z251" s="2"/>
      <c r="AA251" s="2"/>
    </row>
    <row r="252" spans="21:27" ht="20.100000000000001" customHeight="1" x14ac:dyDescent="0.2">
      <c r="U252" s="2"/>
      <c r="V252" s="2"/>
      <c r="W252" s="2"/>
      <c r="X252" s="2"/>
      <c r="Y252" s="2"/>
      <c r="Z252" s="2"/>
      <c r="AA252" s="2"/>
    </row>
    <row r="253" spans="21:27" ht="20.100000000000001" customHeight="1" x14ac:dyDescent="0.2">
      <c r="U253" s="2"/>
      <c r="V253" s="2"/>
      <c r="W253" s="2"/>
      <c r="X253" s="2"/>
      <c r="Y253" s="2"/>
      <c r="Z253" s="2"/>
      <c r="AA253" s="2"/>
    </row>
    <row r="254" spans="21:27" ht="20.100000000000001" customHeight="1" x14ac:dyDescent="0.2">
      <c r="U254" s="2"/>
      <c r="V254" s="2"/>
      <c r="W254" s="2"/>
      <c r="X254" s="2"/>
      <c r="Y254" s="2"/>
      <c r="Z254" s="2"/>
      <c r="AA254" s="2"/>
    </row>
    <row r="255" spans="21:27" ht="20.100000000000001" customHeight="1" x14ac:dyDescent="0.2">
      <c r="U255" s="2"/>
      <c r="V255" s="2"/>
      <c r="W255" s="2"/>
      <c r="X255" s="2"/>
      <c r="Y255" s="2"/>
      <c r="Z255" s="2"/>
      <c r="AA255" s="2"/>
    </row>
    <row r="256" spans="21:27" ht="20.100000000000001" customHeight="1" x14ac:dyDescent="0.2">
      <c r="U256" s="2"/>
      <c r="V256" s="2"/>
      <c r="W256" s="2"/>
      <c r="X256" s="2"/>
      <c r="Y256" s="2"/>
      <c r="Z256" s="2"/>
      <c r="AA256" s="2"/>
    </row>
    <row r="257" spans="3:27" ht="20.100000000000001" customHeight="1" x14ac:dyDescent="0.2">
      <c r="U257" s="2"/>
      <c r="V257" s="2"/>
      <c r="W257" s="2"/>
      <c r="X257" s="2"/>
      <c r="Y257" s="2"/>
      <c r="Z257" s="2"/>
      <c r="AA257" s="2"/>
    </row>
    <row r="258" spans="3:27" ht="20.100000000000001" customHeight="1" x14ac:dyDescent="0.2">
      <c r="U258" s="2"/>
      <c r="V258" s="2"/>
      <c r="W258" s="2"/>
      <c r="X258" s="2"/>
      <c r="Y258" s="2"/>
      <c r="Z258" s="2"/>
      <c r="AA258" s="2"/>
    </row>
    <row r="259" spans="3:27" ht="20.100000000000001" customHeight="1" x14ac:dyDescent="0.2">
      <c r="U259" s="2"/>
      <c r="V259" s="2"/>
      <c r="W259" s="2"/>
      <c r="X259" s="2"/>
      <c r="Y259" s="2"/>
      <c r="Z259" s="2"/>
      <c r="AA259" s="2"/>
    </row>
    <row r="260" spans="3:27" ht="20.100000000000001" customHeight="1" x14ac:dyDescent="0.2">
      <c r="U260" s="2"/>
      <c r="V260" s="2"/>
      <c r="W260" s="2"/>
      <c r="X260" s="2"/>
      <c r="Y260" s="2"/>
      <c r="Z260" s="2"/>
      <c r="AA260" s="2"/>
    </row>
    <row r="261" spans="3:27" ht="20.100000000000001" customHeight="1" x14ac:dyDescent="0.2">
      <c r="U261" s="2"/>
      <c r="V261" s="2"/>
      <c r="W261" s="2"/>
      <c r="X261" s="2"/>
      <c r="Y261" s="2"/>
      <c r="Z261" s="2"/>
      <c r="AA261" s="2"/>
    </row>
    <row r="262" spans="3:27" ht="20.100000000000001" customHeight="1" x14ac:dyDescent="0.2">
      <c r="U262" s="2"/>
      <c r="V262" s="2"/>
      <c r="W262" s="2"/>
      <c r="X262" s="2"/>
      <c r="Y262" s="2"/>
      <c r="Z262" s="2"/>
      <c r="AA262" s="2"/>
    </row>
    <row r="263" spans="3:27" ht="20.100000000000001" customHeight="1" thickBot="1" x14ac:dyDescent="0.25">
      <c r="C263" s="272" t="s">
        <v>126</v>
      </c>
      <c r="U263" s="2"/>
      <c r="V263" s="2"/>
      <c r="W263" s="2"/>
      <c r="X263" s="2"/>
      <c r="Y263" s="2"/>
      <c r="Z263" s="2"/>
      <c r="AA263" s="2"/>
    </row>
    <row r="264" spans="3:27" ht="20.100000000000001" customHeight="1" thickTop="1" x14ac:dyDescent="0.2">
      <c r="U264" s="2"/>
      <c r="V264" s="2"/>
      <c r="W264" s="2"/>
      <c r="X264" s="2"/>
      <c r="Y264" s="2"/>
      <c r="Z264" s="2"/>
      <c r="AA264" s="2"/>
    </row>
    <row r="265" spans="3:27" ht="20.100000000000001" customHeight="1" x14ac:dyDescent="0.2">
      <c r="U265" s="2"/>
      <c r="V265" s="2"/>
      <c r="W265" s="2"/>
      <c r="X265" s="2"/>
      <c r="Y265" s="2"/>
      <c r="Z265" s="2"/>
      <c r="AA265" s="2"/>
    </row>
    <row r="266" spans="3:27" ht="20.100000000000001" customHeight="1" x14ac:dyDescent="0.2">
      <c r="U266" s="2"/>
      <c r="V266" s="2"/>
      <c r="W266" s="2"/>
      <c r="X266" s="2"/>
      <c r="Y266" s="2"/>
      <c r="Z266" s="2"/>
      <c r="AA266" s="2"/>
    </row>
    <row r="267" spans="3:27" ht="20.100000000000001" customHeight="1" x14ac:dyDescent="0.2">
      <c r="U267" s="2"/>
      <c r="V267" s="2"/>
      <c r="W267" s="2"/>
      <c r="X267" s="2"/>
      <c r="Y267" s="2"/>
      <c r="Z267" s="2"/>
      <c r="AA267" s="2"/>
    </row>
    <row r="268" spans="3:27" ht="20.100000000000001" customHeight="1" x14ac:dyDescent="0.2">
      <c r="U268" s="2"/>
      <c r="V268" s="2"/>
      <c r="W268" s="2"/>
      <c r="X268" s="2"/>
      <c r="Y268" s="2"/>
      <c r="Z268" s="2"/>
      <c r="AA268" s="2"/>
    </row>
    <row r="269" spans="3:27" ht="20.100000000000001" customHeight="1" x14ac:dyDescent="0.2">
      <c r="U269" s="2"/>
      <c r="V269" s="2"/>
      <c r="W269" s="2"/>
      <c r="X269" s="2"/>
      <c r="Y269" s="2"/>
      <c r="Z269" s="2"/>
      <c r="AA269" s="2"/>
    </row>
    <row r="270" spans="3:27" ht="20.100000000000001" customHeight="1" x14ac:dyDescent="0.2">
      <c r="U270" s="2"/>
      <c r="V270" s="2"/>
      <c r="W270" s="2"/>
      <c r="X270" s="2"/>
      <c r="Y270" s="2"/>
      <c r="Z270" s="2"/>
      <c r="AA270" s="2"/>
    </row>
    <row r="271" spans="3:27" ht="20.100000000000001" customHeight="1" x14ac:dyDescent="0.2">
      <c r="U271" s="2"/>
      <c r="V271" s="2"/>
      <c r="W271" s="2"/>
      <c r="X271" s="2"/>
      <c r="Y271" s="2"/>
      <c r="Z271" s="2"/>
      <c r="AA271" s="2"/>
    </row>
    <row r="272" spans="3:27" ht="20.100000000000001" customHeight="1" x14ac:dyDescent="0.2">
      <c r="U272" s="2"/>
      <c r="V272" s="2"/>
      <c r="W272" s="2"/>
      <c r="X272" s="2"/>
      <c r="Y272" s="2"/>
      <c r="Z272" s="2"/>
      <c r="AA272" s="2"/>
    </row>
    <row r="273" spans="3:27" ht="20.100000000000001" customHeight="1" x14ac:dyDescent="0.2">
      <c r="U273" s="2"/>
      <c r="V273" s="2"/>
      <c r="W273" s="2"/>
      <c r="X273" s="2"/>
      <c r="Y273" s="2"/>
      <c r="Z273" s="2"/>
      <c r="AA273" s="2"/>
    </row>
    <row r="274" spans="3:27" ht="20.100000000000001" customHeight="1" x14ac:dyDescent="0.2">
      <c r="U274" s="2"/>
      <c r="V274" s="2"/>
      <c r="W274" s="2"/>
      <c r="X274" s="2"/>
      <c r="Y274" s="2"/>
      <c r="Z274" s="2"/>
      <c r="AA274" s="2"/>
    </row>
    <row r="275" spans="3:27" ht="20.100000000000001" customHeight="1" x14ac:dyDescent="0.2">
      <c r="U275" s="2"/>
      <c r="V275" s="2"/>
      <c r="W275" s="2"/>
      <c r="X275" s="2"/>
      <c r="Y275" s="2"/>
      <c r="Z275" s="2"/>
      <c r="AA275" s="2"/>
    </row>
    <row r="276" spans="3:27" ht="20.100000000000001" customHeight="1" x14ac:dyDescent="0.2">
      <c r="U276" s="2"/>
      <c r="V276" s="2"/>
      <c r="W276" s="2"/>
      <c r="X276" s="2"/>
      <c r="Y276" s="2"/>
      <c r="Z276" s="2"/>
      <c r="AA276" s="2"/>
    </row>
    <row r="277" spans="3:27" ht="20.100000000000001" customHeight="1" x14ac:dyDescent="0.2">
      <c r="U277" s="2"/>
      <c r="V277" s="2"/>
      <c r="W277" s="2"/>
      <c r="X277" s="2"/>
      <c r="Y277" s="2"/>
      <c r="Z277" s="2"/>
      <c r="AA277" s="2"/>
    </row>
    <row r="278" spans="3:27" ht="20.100000000000001" customHeight="1" thickBot="1" x14ac:dyDescent="0.25">
      <c r="C278" s="272" t="s">
        <v>109</v>
      </c>
      <c r="U278" s="2"/>
      <c r="V278" s="2"/>
      <c r="W278" s="2"/>
      <c r="X278" s="2"/>
      <c r="Y278" s="2"/>
      <c r="Z278" s="2"/>
      <c r="AA278" s="2"/>
    </row>
    <row r="279" spans="3:27" ht="20.100000000000001" customHeight="1" thickTop="1" x14ac:dyDescent="0.2">
      <c r="U279" s="2"/>
      <c r="V279" s="2"/>
      <c r="W279" s="2"/>
      <c r="X279" s="2"/>
      <c r="Y279" s="2"/>
      <c r="Z279" s="2"/>
      <c r="AA279" s="2"/>
    </row>
    <row r="280" spans="3:27" ht="20.100000000000001" customHeight="1" x14ac:dyDescent="0.2">
      <c r="U280" s="2"/>
      <c r="V280" s="2"/>
      <c r="W280" s="2"/>
      <c r="X280" s="2"/>
      <c r="Y280" s="2"/>
      <c r="Z280" s="2"/>
      <c r="AA280" s="2"/>
    </row>
    <row r="281" spans="3:27" ht="20.100000000000001" customHeight="1" x14ac:dyDescent="0.2">
      <c r="U281" s="2"/>
      <c r="V281" s="2"/>
      <c r="W281" s="2"/>
      <c r="X281" s="2"/>
      <c r="Y281" s="2"/>
      <c r="Z281" s="2"/>
      <c r="AA281" s="2"/>
    </row>
    <row r="282" spans="3:27" ht="20.100000000000001" customHeight="1" x14ac:dyDescent="0.2">
      <c r="U282" s="2"/>
      <c r="V282" s="2"/>
      <c r="W282" s="2"/>
      <c r="X282" s="2"/>
      <c r="Y282" s="2"/>
      <c r="Z282" s="2"/>
      <c r="AA282" s="2"/>
    </row>
    <row r="283" spans="3:27" ht="20.100000000000001" customHeight="1" x14ac:dyDescent="0.2">
      <c r="U283" s="2"/>
      <c r="V283" s="2"/>
      <c r="W283" s="2"/>
      <c r="X283" s="2"/>
      <c r="Y283" s="2"/>
      <c r="Z283" s="2"/>
      <c r="AA283" s="2"/>
    </row>
    <row r="284" spans="3:27" ht="20.100000000000001" customHeight="1" x14ac:dyDescent="0.2">
      <c r="U284" s="2"/>
      <c r="V284" s="2"/>
      <c r="W284" s="2"/>
      <c r="X284" s="2"/>
      <c r="Y284" s="2"/>
      <c r="Z284" s="2"/>
      <c r="AA284" s="2"/>
    </row>
    <row r="285" spans="3:27" ht="20.100000000000001" customHeight="1" x14ac:dyDescent="0.2">
      <c r="U285" s="2"/>
      <c r="V285" s="2"/>
      <c r="W285" s="2"/>
      <c r="X285" s="2"/>
      <c r="Y285" s="2"/>
      <c r="Z285" s="2"/>
      <c r="AA285" s="2"/>
    </row>
    <row r="286" spans="3:27" ht="20.100000000000001" customHeight="1" x14ac:dyDescent="0.2">
      <c r="U286" s="2"/>
      <c r="V286" s="2"/>
      <c r="W286" s="2"/>
      <c r="X286" s="2"/>
      <c r="Y286" s="2"/>
      <c r="Z286" s="2"/>
      <c r="AA286" s="2"/>
    </row>
    <row r="287" spans="3:27" ht="20.100000000000001" customHeight="1" x14ac:dyDescent="0.2">
      <c r="U287" s="2"/>
      <c r="V287" s="2"/>
      <c r="W287" s="2"/>
      <c r="X287" s="2"/>
      <c r="Y287" s="2"/>
      <c r="Z287" s="2"/>
      <c r="AA287" s="2"/>
    </row>
    <row r="288" spans="3:27" ht="20.100000000000001" customHeight="1" x14ac:dyDescent="0.2">
      <c r="U288" s="2"/>
      <c r="V288" s="2"/>
      <c r="W288" s="2"/>
      <c r="X288" s="2"/>
      <c r="Y288" s="2"/>
      <c r="Z288" s="2"/>
      <c r="AA288" s="2"/>
    </row>
    <row r="289" spans="3:27" ht="20.100000000000001" customHeight="1" x14ac:dyDescent="0.2">
      <c r="U289" s="2"/>
      <c r="V289" s="2"/>
      <c r="W289" s="2"/>
      <c r="X289" s="2"/>
      <c r="Y289" s="2"/>
      <c r="Z289" s="2"/>
      <c r="AA289" s="2"/>
    </row>
    <row r="290" spans="3:27" ht="20.100000000000001" customHeight="1" x14ac:dyDescent="0.2">
      <c r="U290" s="2"/>
      <c r="V290" s="2"/>
      <c r="W290" s="2"/>
      <c r="X290" s="2"/>
      <c r="Y290" s="2"/>
      <c r="Z290" s="2"/>
      <c r="AA290" s="2"/>
    </row>
    <row r="291" spans="3:27" ht="20.100000000000001" customHeight="1" x14ac:dyDescent="0.2">
      <c r="U291" s="2"/>
      <c r="V291" s="2"/>
      <c r="W291" s="2"/>
      <c r="X291" s="2"/>
      <c r="Y291" s="2"/>
      <c r="Z291" s="2"/>
      <c r="AA291" s="2"/>
    </row>
    <row r="292" spans="3:27" ht="20.100000000000001" customHeight="1" thickBot="1" x14ac:dyDescent="0.25">
      <c r="C292" s="272" t="s">
        <v>127</v>
      </c>
      <c r="U292" s="2"/>
      <c r="V292" s="2"/>
      <c r="W292" s="2"/>
      <c r="X292" s="2"/>
      <c r="Y292" s="2"/>
      <c r="Z292" s="2"/>
      <c r="AA292" s="2"/>
    </row>
    <row r="293" spans="3:27" ht="20.100000000000001" customHeight="1" thickTop="1" x14ac:dyDescent="0.2">
      <c r="U293" s="2"/>
      <c r="V293" s="2"/>
      <c r="W293" s="2"/>
      <c r="X293" s="2"/>
      <c r="Y293" s="2"/>
      <c r="Z293" s="2"/>
      <c r="AA293" s="2"/>
    </row>
    <row r="294" spans="3:27" ht="20.100000000000001" customHeight="1" x14ac:dyDescent="0.2">
      <c r="U294" s="2"/>
      <c r="V294" s="2"/>
      <c r="W294" s="2"/>
      <c r="X294" s="2"/>
      <c r="Y294" s="2"/>
      <c r="Z294" s="2"/>
      <c r="AA294" s="2"/>
    </row>
    <row r="295" spans="3:27" ht="12.75" x14ac:dyDescent="0.2">
      <c r="U295" s="2"/>
      <c r="V295" s="2"/>
      <c r="W295" s="2"/>
      <c r="X295" s="2"/>
      <c r="Y295" s="2"/>
      <c r="Z295" s="2"/>
      <c r="AA295" s="2"/>
    </row>
    <row r="296" spans="3:27" ht="20.100000000000001" customHeight="1" x14ac:dyDescent="0.2">
      <c r="U296" s="2"/>
      <c r="V296" s="2"/>
      <c r="W296" s="2"/>
      <c r="X296" s="2"/>
      <c r="Y296" s="2"/>
      <c r="Z296" s="2"/>
      <c r="AA296" s="2"/>
    </row>
    <row r="297" spans="3:27" ht="12.75" x14ac:dyDescent="0.2">
      <c r="U297" s="2"/>
      <c r="V297" s="2"/>
      <c r="W297" s="2"/>
      <c r="X297" s="2"/>
      <c r="Y297" s="2"/>
      <c r="Z297" s="2"/>
      <c r="AA297" s="2"/>
    </row>
    <row r="298" spans="3:27" ht="12.75" x14ac:dyDescent="0.2">
      <c r="H298" s="32"/>
      <c r="I298" s="32"/>
      <c r="J298" s="32"/>
      <c r="K298" s="32"/>
      <c r="L298" s="32"/>
      <c r="M298" s="32"/>
      <c r="N298" s="32"/>
      <c r="O298" s="32"/>
      <c r="P298" s="32"/>
      <c r="Q298" s="32"/>
      <c r="R298" s="32"/>
      <c r="S298" s="194"/>
      <c r="T298" s="32"/>
      <c r="U298" s="32"/>
      <c r="V298" s="32"/>
      <c r="W298" s="32"/>
      <c r="X298" s="32"/>
      <c r="Y298" s="32"/>
      <c r="Z298" s="32"/>
      <c r="AA298" s="32"/>
    </row>
    <row r="299" spans="3:27" ht="12.75" x14ac:dyDescent="0.2">
      <c r="U299" s="2"/>
      <c r="V299" s="2"/>
      <c r="W299" s="2"/>
      <c r="X299" s="2"/>
      <c r="Y299" s="2"/>
      <c r="Z299" s="2"/>
      <c r="AA299" s="2"/>
    </row>
    <row r="300" spans="3:27" ht="12.75" x14ac:dyDescent="0.2">
      <c r="U300" s="2"/>
      <c r="V300" s="2"/>
      <c r="W300" s="2"/>
      <c r="X300" s="2"/>
      <c r="Y300" s="2"/>
      <c r="Z300" s="2"/>
      <c r="AA300" s="2"/>
    </row>
    <row r="301" spans="3:27" ht="20.100000000000001" customHeight="1" x14ac:dyDescent="0.2">
      <c r="U301" s="2"/>
      <c r="V301" s="2"/>
      <c r="W301" s="2"/>
      <c r="X301" s="2"/>
      <c r="Y301" s="2"/>
      <c r="Z301" s="2"/>
      <c r="AA301" s="2"/>
    </row>
    <row r="302" spans="3:27" ht="20.100000000000001" customHeight="1" x14ac:dyDescent="0.2">
      <c r="U302" s="2"/>
      <c r="V302" s="2"/>
      <c r="W302" s="2"/>
      <c r="X302" s="2"/>
      <c r="Y302" s="2"/>
      <c r="Z302" s="2"/>
      <c r="AA302" s="2"/>
    </row>
    <row r="303" spans="3:27" ht="20.100000000000001" customHeight="1" x14ac:dyDescent="0.2">
      <c r="U303" s="2"/>
      <c r="V303" s="2"/>
      <c r="W303" s="2"/>
      <c r="X303" s="2"/>
      <c r="Y303" s="2"/>
      <c r="Z303" s="2"/>
      <c r="AA303" s="2"/>
    </row>
    <row r="304" spans="3:27" ht="20.100000000000001" customHeight="1" x14ac:dyDescent="0.2">
      <c r="U304" s="2"/>
      <c r="V304" s="2"/>
      <c r="W304" s="2"/>
      <c r="X304" s="2"/>
      <c r="Y304" s="2"/>
      <c r="Z304" s="2"/>
      <c r="AA304" s="2"/>
    </row>
    <row r="305" spans="3:27" ht="20.100000000000001" customHeight="1" x14ac:dyDescent="0.2">
      <c r="U305" s="2"/>
      <c r="V305" s="2"/>
      <c r="W305" s="2"/>
      <c r="X305" s="2"/>
      <c r="Y305" s="2"/>
      <c r="Z305" s="2"/>
      <c r="AA305" s="2"/>
    </row>
    <row r="306" spans="3:27" ht="20.100000000000001" customHeight="1" x14ac:dyDescent="0.2">
      <c r="U306" s="2"/>
      <c r="V306" s="2"/>
      <c r="W306" s="2"/>
      <c r="X306" s="2"/>
      <c r="Y306" s="2"/>
      <c r="Z306" s="2"/>
      <c r="AA306" s="2"/>
    </row>
    <row r="307" spans="3:27" ht="20.100000000000001" customHeight="1" x14ac:dyDescent="0.2">
      <c r="U307" s="2"/>
      <c r="V307" s="2"/>
      <c r="W307" s="2"/>
      <c r="X307" s="2"/>
      <c r="Y307" s="2"/>
      <c r="Z307" s="2"/>
      <c r="AA307" s="2"/>
    </row>
    <row r="308" spans="3:27" ht="20.100000000000001" customHeight="1" x14ac:dyDescent="0.2">
      <c r="U308" s="2"/>
      <c r="V308" s="2"/>
      <c r="W308" s="2"/>
      <c r="X308" s="2"/>
      <c r="Y308" s="2"/>
      <c r="Z308" s="2"/>
      <c r="AA308" s="2"/>
    </row>
    <row r="309" spans="3:27" ht="20.100000000000001" customHeight="1" x14ac:dyDescent="0.2">
      <c r="U309" s="2"/>
      <c r="V309" s="2"/>
      <c r="W309" s="2"/>
      <c r="X309" s="2"/>
      <c r="Y309" s="2"/>
      <c r="Z309" s="2"/>
      <c r="AA309" s="2"/>
    </row>
    <row r="310" spans="3:27" ht="20.100000000000001" customHeight="1" x14ac:dyDescent="0.2">
      <c r="U310" s="2"/>
      <c r="V310" s="2"/>
      <c r="W310" s="2"/>
      <c r="X310" s="2"/>
      <c r="Y310" s="2"/>
      <c r="Z310" s="2"/>
      <c r="AA310" s="2"/>
    </row>
    <row r="311" spans="3:27" ht="20.100000000000001" customHeight="1" x14ac:dyDescent="0.2">
      <c r="U311" s="2"/>
      <c r="V311" s="2"/>
      <c r="W311" s="2"/>
      <c r="X311" s="2"/>
      <c r="Y311" s="2"/>
      <c r="Z311" s="2"/>
      <c r="AA311" s="2"/>
    </row>
    <row r="312" spans="3:27" ht="20.25" x14ac:dyDescent="0.3">
      <c r="C312" s="290" t="s">
        <v>17</v>
      </c>
      <c r="D312" s="120" t="s" vm="3">
        <v>34</v>
      </c>
      <c r="E312" s="15"/>
      <c r="U312" s="2"/>
      <c r="V312" s="2"/>
      <c r="W312" s="2"/>
      <c r="X312" s="2"/>
      <c r="Y312" s="2"/>
      <c r="Z312" s="2"/>
      <c r="AA312" s="2"/>
    </row>
    <row r="313" spans="3:27" ht="20.100000000000001" customHeight="1" x14ac:dyDescent="0.2">
      <c r="C313" s="15"/>
      <c r="D313" s="15"/>
      <c r="E313" s="15"/>
      <c r="U313" s="2"/>
      <c r="V313" s="2"/>
      <c r="W313" s="2"/>
      <c r="X313" s="2"/>
      <c r="Y313" s="2"/>
      <c r="Z313" s="2"/>
      <c r="AA313" s="2"/>
    </row>
    <row r="314" spans="3:27" ht="20.25" x14ac:dyDescent="0.3">
      <c r="C314" s="290" t="s">
        <v>125</v>
      </c>
      <c r="D314" s="120"/>
      <c r="E314" s="120"/>
      <c r="F314"/>
      <c r="G314"/>
      <c r="U314" s="2"/>
      <c r="V314" s="2"/>
      <c r="W314" s="2"/>
      <c r="X314" s="2"/>
      <c r="Y314" s="2"/>
      <c r="Z314" s="2"/>
      <c r="AA314" s="2"/>
    </row>
    <row r="315" spans="3:27" ht="20.25" x14ac:dyDescent="0.3">
      <c r="C315" s="120"/>
      <c r="D315" s="120" t="s">
        <v>69</v>
      </c>
      <c r="E315" s="120" t="s">
        <v>185</v>
      </c>
      <c r="F315" s="1"/>
      <c r="G315" s="1"/>
      <c r="H315" s="32"/>
      <c r="I315" s="32"/>
      <c r="J315" s="32"/>
      <c r="K315" s="32"/>
      <c r="L315" s="32"/>
      <c r="M315" s="32"/>
      <c r="N315" s="32"/>
      <c r="O315" s="32"/>
      <c r="P315" s="32"/>
      <c r="Q315" s="32"/>
      <c r="R315" s="32"/>
      <c r="S315" s="194"/>
      <c r="T315" s="32"/>
      <c r="U315" s="32"/>
      <c r="V315" s="32"/>
      <c r="W315" s="32"/>
      <c r="X315" s="32"/>
      <c r="Y315" s="32"/>
      <c r="Z315" s="32"/>
      <c r="AA315" s="32"/>
    </row>
    <row r="316" spans="3:27" ht="20.25" x14ac:dyDescent="0.3">
      <c r="C316" s="291" t="s">
        <v>168</v>
      </c>
      <c r="D316" s="300">
        <v>1</v>
      </c>
      <c r="E316" s="300">
        <v>1</v>
      </c>
      <c r="F316"/>
      <c r="G316"/>
      <c r="U316" s="2"/>
      <c r="V316" s="2"/>
      <c r="W316" s="2"/>
      <c r="X316" s="2"/>
      <c r="Y316" s="2"/>
      <c r="Z316" s="2"/>
      <c r="AA316" s="2"/>
    </row>
    <row r="317" spans="3:27" ht="20.25" x14ac:dyDescent="0.3">
      <c r="C317" s="291" t="s">
        <v>185</v>
      </c>
      <c r="D317" s="300">
        <v>1</v>
      </c>
      <c r="E317" s="300">
        <v>1</v>
      </c>
      <c r="F317"/>
      <c r="G317"/>
      <c r="U317" s="2"/>
      <c r="V317" s="2"/>
      <c r="W317" s="2"/>
      <c r="X317" s="2"/>
      <c r="Y317" s="2"/>
      <c r="Z317" s="2"/>
      <c r="AA317" s="2"/>
    </row>
    <row r="318" spans="3:27" ht="12.75" x14ac:dyDescent="0.2">
      <c r="C318"/>
      <c r="D318"/>
      <c r="E318"/>
      <c r="F318"/>
      <c r="G318"/>
      <c r="U318" s="2"/>
      <c r="V318" s="2"/>
      <c r="W318" s="2"/>
      <c r="X318" s="2"/>
      <c r="Y318" s="2"/>
      <c r="Z318" s="2"/>
      <c r="AA318" s="2"/>
    </row>
    <row r="319" spans="3:27" ht="12.75" x14ac:dyDescent="0.2">
      <c r="C319"/>
      <c r="D319"/>
      <c r="E319"/>
      <c r="F319"/>
      <c r="G319"/>
      <c r="U319" s="2"/>
      <c r="V319" s="2"/>
      <c r="W319" s="2"/>
      <c r="X319" s="2"/>
      <c r="Y319" s="2"/>
      <c r="Z319" s="2"/>
      <c r="AA319" s="2"/>
    </row>
    <row r="320" spans="3:27" ht="12.75" x14ac:dyDescent="0.2">
      <c r="C320"/>
      <c r="D320"/>
      <c r="E320"/>
      <c r="F320"/>
      <c r="G320"/>
      <c r="U320" s="2"/>
      <c r="V320" s="2"/>
      <c r="W320" s="2"/>
      <c r="X320" s="2"/>
      <c r="Y320" s="2"/>
      <c r="Z320" s="2"/>
      <c r="AA320" s="2"/>
    </row>
    <row r="321" spans="21:27" ht="20.100000000000001" customHeight="1" x14ac:dyDescent="0.2">
      <c r="U321" s="2"/>
      <c r="V321" s="2"/>
      <c r="W321" s="2"/>
      <c r="X321" s="2"/>
      <c r="Y321" s="2"/>
      <c r="Z321" s="2"/>
      <c r="AA321" s="2"/>
    </row>
    <row r="322" spans="21:27" ht="20.100000000000001" customHeight="1" x14ac:dyDescent="0.2">
      <c r="U322" s="2"/>
      <c r="V322" s="2"/>
      <c r="W322" s="2"/>
      <c r="X322" s="2"/>
      <c r="Y322" s="2"/>
      <c r="Z322" s="2"/>
      <c r="AA322" s="2"/>
    </row>
    <row r="323" spans="21:27" ht="20.100000000000001" customHeight="1" x14ac:dyDescent="0.2">
      <c r="U323" s="2"/>
      <c r="V323" s="2"/>
      <c r="W323" s="2"/>
      <c r="X323" s="2"/>
      <c r="Y323" s="2"/>
      <c r="Z323" s="2"/>
      <c r="AA323" s="2"/>
    </row>
    <row r="324" spans="21:27" ht="20.100000000000001" customHeight="1" x14ac:dyDescent="0.2">
      <c r="U324" s="2"/>
      <c r="V324" s="2"/>
      <c r="W324" s="2"/>
      <c r="X324" s="2"/>
      <c r="Y324" s="2"/>
      <c r="Z324" s="2"/>
      <c r="AA324" s="2"/>
    </row>
    <row r="325" spans="21:27" ht="20.100000000000001" customHeight="1" x14ac:dyDescent="0.2">
      <c r="U325" s="2"/>
      <c r="V325" s="2"/>
      <c r="W325" s="2"/>
      <c r="X325" s="2"/>
      <c r="Y325" s="2"/>
      <c r="Z325" s="2"/>
      <c r="AA325" s="2"/>
    </row>
    <row r="326" spans="21:27" ht="20.100000000000001" customHeight="1" x14ac:dyDescent="0.2">
      <c r="U326" s="2"/>
      <c r="V326" s="2"/>
      <c r="W326" s="2"/>
      <c r="X326" s="2"/>
      <c r="Y326" s="2"/>
      <c r="Z326" s="2"/>
      <c r="AA326" s="2"/>
    </row>
    <row r="327" spans="21:27" ht="20.100000000000001" customHeight="1" x14ac:dyDescent="0.2">
      <c r="U327" s="2"/>
      <c r="V327" s="2"/>
      <c r="W327" s="2"/>
      <c r="X327" s="2"/>
      <c r="Y327" s="2"/>
      <c r="Z327" s="2"/>
      <c r="AA327" s="2"/>
    </row>
    <row r="328" spans="21:27" ht="20.100000000000001" customHeight="1" x14ac:dyDescent="0.2">
      <c r="U328" s="2"/>
      <c r="V328" s="2"/>
      <c r="W328" s="2"/>
      <c r="X328" s="2"/>
      <c r="Y328" s="2"/>
      <c r="Z328" s="2"/>
      <c r="AA328" s="2"/>
    </row>
    <row r="329" spans="21:27" ht="20.100000000000001" customHeight="1" x14ac:dyDescent="0.2">
      <c r="U329" s="2"/>
      <c r="V329" s="2"/>
      <c r="W329" s="2"/>
      <c r="X329" s="2"/>
      <c r="Y329" s="2"/>
      <c r="Z329" s="2"/>
      <c r="AA329" s="2"/>
    </row>
    <row r="330" spans="21:27" ht="20.100000000000001" customHeight="1" x14ac:dyDescent="0.2">
      <c r="U330" s="2"/>
      <c r="V330" s="2"/>
      <c r="W330" s="2"/>
      <c r="X330" s="2"/>
      <c r="Y330" s="2"/>
      <c r="Z330" s="2"/>
      <c r="AA330" s="2"/>
    </row>
    <row r="331" spans="21:27" ht="20.100000000000001" customHeight="1" x14ac:dyDescent="0.2">
      <c r="U331" s="2"/>
      <c r="V331" s="2"/>
      <c r="W331" s="2"/>
      <c r="X331" s="2"/>
      <c r="Y331" s="2"/>
      <c r="Z331" s="2"/>
      <c r="AA331" s="2"/>
    </row>
    <row r="332" spans="21:27" ht="20.100000000000001" customHeight="1" x14ac:dyDescent="0.2">
      <c r="U332" s="2"/>
      <c r="V332" s="2"/>
      <c r="W332" s="2"/>
      <c r="X332" s="2"/>
      <c r="Y332" s="2"/>
      <c r="Z332" s="2"/>
      <c r="AA332" s="2"/>
    </row>
    <row r="333" spans="21:27" ht="20.100000000000001" customHeight="1" x14ac:dyDescent="0.2">
      <c r="U333" s="2"/>
      <c r="V333" s="2"/>
      <c r="W333" s="2"/>
      <c r="X333" s="2"/>
      <c r="Y333" s="2"/>
      <c r="Z333" s="2"/>
      <c r="AA333" s="2"/>
    </row>
    <row r="334" spans="21:27" ht="20.100000000000001" customHeight="1" x14ac:dyDescent="0.2">
      <c r="U334" s="2"/>
      <c r="V334" s="2"/>
      <c r="W334" s="2"/>
      <c r="X334" s="2"/>
      <c r="Y334" s="2"/>
      <c r="Z334" s="2"/>
      <c r="AA334" s="2"/>
    </row>
    <row r="335" spans="21:27" ht="20.100000000000001" customHeight="1" x14ac:dyDescent="0.2">
      <c r="U335" s="2"/>
      <c r="V335" s="2"/>
      <c r="W335" s="2"/>
      <c r="X335" s="2"/>
      <c r="Y335" s="2"/>
      <c r="Z335" s="2"/>
      <c r="AA335" s="2"/>
    </row>
    <row r="336" spans="21:27" ht="20.100000000000001" customHeight="1" x14ac:dyDescent="0.2">
      <c r="U336" s="2"/>
      <c r="V336" s="2"/>
      <c r="W336" s="2"/>
      <c r="X336" s="2"/>
      <c r="Y336" s="2"/>
      <c r="Z336" s="2"/>
      <c r="AA336" s="2"/>
    </row>
    <row r="337" spans="21:27" ht="20.100000000000001" customHeight="1" x14ac:dyDescent="0.2">
      <c r="U337" s="2"/>
      <c r="V337" s="2"/>
      <c r="W337" s="2"/>
      <c r="X337" s="2"/>
      <c r="Y337" s="2"/>
      <c r="Z337" s="2"/>
      <c r="AA337" s="2"/>
    </row>
    <row r="338" spans="21:27" ht="20.100000000000001" customHeight="1" x14ac:dyDescent="0.2">
      <c r="U338" s="2"/>
      <c r="V338" s="2"/>
      <c r="W338" s="2"/>
      <c r="X338" s="2"/>
      <c r="Y338" s="2"/>
      <c r="Z338" s="2"/>
      <c r="AA338" s="2"/>
    </row>
    <row r="339" spans="21:27" ht="20.100000000000001" customHeight="1" x14ac:dyDescent="0.2">
      <c r="U339" s="2"/>
      <c r="V339" s="2"/>
      <c r="W339" s="2"/>
      <c r="X339" s="2"/>
      <c r="Y339" s="2"/>
      <c r="Z339" s="2"/>
      <c r="AA339" s="2"/>
    </row>
    <row r="340" spans="21:27" ht="20.100000000000001" customHeight="1" x14ac:dyDescent="0.2">
      <c r="U340" s="2"/>
      <c r="V340" s="2"/>
      <c r="W340" s="2"/>
      <c r="X340" s="2"/>
      <c r="Y340" s="2"/>
      <c r="Z340" s="2"/>
      <c r="AA340" s="2"/>
    </row>
    <row r="341" spans="21:27" ht="20.100000000000001" customHeight="1" x14ac:dyDescent="0.2">
      <c r="U341" s="2"/>
      <c r="V341" s="2"/>
      <c r="W341" s="2"/>
      <c r="X341" s="2"/>
      <c r="Y341" s="2"/>
      <c r="Z341" s="2"/>
      <c r="AA341" s="2"/>
    </row>
    <row r="342" spans="21:27" ht="20.100000000000001" customHeight="1" x14ac:dyDescent="0.2">
      <c r="U342" s="2"/>
      <c r="V342" s="2"/>
      <c r="W342" s="2"/>
      <c r="X342" s="2"/>
      <c r="Y342" s="2"/>
      <c r="Z342" s="2"/>
      <c r="AA342" s="2"/>
    </row>
    <row r="343" spans="21:27" ht="20.100000000000001" customHeight="1" x14ac:dyDescent="0.2">
      <c r="U343" s="2"/>
      <c r="V343" s="2"/>
      <c r="W343" s="2"/>
      <c r="X343" s="2"/>
      <c r="Y343" s="2"/>
      <c r="Z343" s="2"/>
      <c r="AA343" s="2"/>
    </row>
    <row r="344" spans="21:27" ht="20.100000000000001" customHeight="1" x14ac:dyDescent="0.2">
      <c r="U344" s="2"/>
      <c r="V344" s="2"/>
      <c r="W344" s="2"/>
      <c r="X344" s="2"/>
      <c r="Y344" s="2"/>
      <c r="Z344" s="2"/>
      <c r="AA344" s="2"/>
    </row>
    <row r="345" spans="21:27" ht="20.100000000000001" customHeight="1" x14ac:dyDescent="0.2">
      <c r="U345" s="2"/>
      <c r="V345" s="2"/>
      <c r="W345" s="2"/>
      <c r="X345" s="2"/>
      <c r="Y345" s="2"/>
      <c r="Z345" s="2"/>
      <c r="AA345" s="2"/>
    </row>
    <row r="346" spans="21:27" ht="20.100000000000001" customHeight="1" x14ac:dyDescent="0.2">
      <c r="U346" s="2"/>
      <c r="V346" s="2"/>
      <c r="W346" s="2"/>
      <c r="X346" s="2"/>
      <c r="Y346" s="2"/>
      <c r="Z346" s="2"/>
      <c r="AA346" s="2"/>
    </row>
    <row r="347" spans="21:27" ht="20.100000000000001" customHeight="1" x14ac:dyDescent="0.2">
      <c r="U347" s="2"/>
      <c r="V347" s="2"/>
      <c r="W347" s="2"/>
      <c r="X347" s="2"/>
      <c r="Y347" s="2"/>
      <c r="Z347" s="2"/>
      <c r="AA347" s="2"/>
    </row>
    <row r="348" spans="21:27" ht="20.100000000000001" customHeight="1" x14ac:dyDescent="0.2">
      <c r="U348" s="2"/>
      <c r="V348" s="2"/>
      <c r="W348" s="2"/>
      <c r="X348" s="2"/>
      <c r="Y348" s="2"/>
      <c r="Z348" s="2"/>
      <c r="AA348" s="2"/>
    </row>
    <row r="349" spans="21:27" ht="20.100000000000001" customHeight="1" x14ac:dyDescent="0.2">
      <c r="U349" s="2"/>
      <c r="V349" s="2"/>
      <c r="W349" s="2"/>
      <c r="X349" s="2"/>
      <c r="Y349" s="2"/>
      <c r="Z349" s="2"/>
      <c r="AA349" s="2"/>
    </row>
    <row r="350" spans="21:27" ht="20.100000000000001" customHeight="1" x14ac:dyDescent="0.2">
      <c r="U350" s="2"/>
      <c r="V350" s="2"/>
      <c r="W350" s="2"/>
      <c r="X350" s="2"/>
      <c r="Y350" s="2"/>
      <c r="Z350" s="2"/>
      <c r="AA350" s="2"/>
    </row>
    <row r="351" spans="21:27" ht="20.100000000000001" customHeight="1" x14ac:dyDescent="0.2">
      <c r="U351" s="2"/>
      <c r="V351" s="2"/>
      <c r="W351" s="2"/>
      <c r="X351" s="2"/>
      <c r="Y351" s="2"/>
      <c r="Z351" s="2"/>
      <c r="AA351" s="2"/>
    </row>
    <row r="352" spans="21:27" ht="20.100000000000001" customHeight="1" x14ac:dyDescent="0.2">
      <c r="U352" s="2"/>
      <c r="V352" s="2"/>
      <c r="W352" s="2"/>
      <c r="X352" s="2"/>
      <c r="Y352" s="2"/>
      <c r="Z352" s="2"/>
      <c r="AA352" s="2"/>
    </row>
    <row r="353" spans="21:27" ht="20.100000000000001" customHeight="1" x14ac:dyDescent="0.2">
      <c r="U353" s="2"/>
      <c r="V353" s="2"/>
      <c r="W353" s="2"/>
      <c r="X353" s="2"/>
      <c r="Y353" s="2"/>
      <c r="Z353" s="2"/>
      <c r="AA353" s="2"/>
    </row>
    <row r="354" spans="21:27" ht="20.100000000000001" customHeight="1" x14ac:dyDescent="0.2">
      <c r="U354" s="2"/>
      <c r="V354" s="2"/>
      <c r="W354" s="2"/>
      <c r="X354" s="2"/>
      <c r="Y354" s="2"/>
      <c r="Z354" s="2"/>
      <c r="AA354" s="2"/>
    </row>
    <row r="355" spans="21:27" ht="20.100000000000001" customHeight="1" x14ac:dyDescent="0.2">
      <c r="U355" s="2"/>
      <c r="V355" s="2"/>
      <c r="W355" s="2"/>
      <c r="X355" s="2"/>
      <c r="Y355" s="2"/>
      <c r="Z355" s="2"/>
      <c r="AA355" s="2"/>
    </row>
    <row r="356" spans="21:27" ht="20.100000000000001" customHeight="1" x14ac:dyDescent="0.2">
      <c r="U356" s="2"/>
      <c r="V356" s="2"/>
      <c r="W356" s="2"/>
      <c r="X356" s="2"/>
      <c r="Y356" s="2"/>
      <c r="Z356" s="2"/>
      <c r="AA356" s="2"/>
    </row>
    <row r="357" spans="21:27" ht="20.100000000000001" customHeight="1" x14ac:dyDescent="0.2">
      <c r="U357" s="2"/>
      <c r="V357" s="2"/>
      <c r="W357" s="2"/>
      <c r="X357" s="2"/>
      <c r="Y357" s="2"/>
      <c r="Z357" s="2"/>
      <c r="AA357" s="2"/>
    </row>
    <row r="358" spans="21:27" ht="20.100000000000001" customHeight="1" x14ac:dyDescent="0.2">
      <c r="U358" s="2"/>
      <c r="V358" s="2"/>
      <c r="W358" s="2"/>
      <c r="X358" s="2"/>
      <c r="Y358" s="2"/>
      <c r="Z358" s="2"/>
      <c r="AA358" s="2"/>
    </row>
    <row r="359" spans="21:27" ht="20.100000000000001" customHeight="1" x14ac:dyDescent="0.2">
      <c r="U359" s="2"/>
      <c r="V359" s="2"/>
      <c r="W359" s="2"/>
      <c r="X359" s="2"/>
      <c r="Y359" s="2"/>
      <c r="Z359" s="2"/>
      <c r="AA359" s="2"/>
    </row>
    <row r="360" spans="21:27" ht="20.100000000000001" customHeight="1" x14ac:dyDescent="0.2">
      <c r="U360" s="2"/>
      <c r="V360" s="2"/>
      <c r="W360" s="2"/>
      <c r="X360" s="2"/>
      <c r="Y360" s="2"/>
      <c r="Z360" s="2"/>
      <c r="AA360" s="2"/>
    </row>
    <row r="361" spans="21:27" ht="20.100000000000001" customHeight="1" x14ac:dyDescent="0.2">
      <c r="U361" s="2"/>
      <c r="V361" s="2"/>
      <c r="W361" s="2"/>
      <c r="X361" s="2"/>
      <c r="Y361" s="2"/>
      <c r="Z361" s="2"/>
      <c r="AA361" s="2"/>
    </row>
    <row r="362" spans="21:27" ht="20.100000000000001" customHeight="1" x14ac:dyDescent="0.2">
      <c r="U362" s="2"/>
      <c r="V362" s="2"/>
      <c r="W362" s="2"/>
      <c r="X362" s="2"/>
      <c r="Y362" s="2"/>
      <c r="Z362" s="2"/>
      <c r="AA362" s="2"/>
    </row>
    <row r="363" spans="21:27" ht="20.100000000000001" customHeight="1" x14ac:dyDescent="0.2">
      <c r="U363" s="2"/>
      <c r="V363" s="2"/>
      <c r="W363" s="2"/>
      <c r="X363" s="2"/>
      <c r="Y363" s="2"/>
      <c r="Z363" s="2"/>
      <c r="AA363" s="2"/>
    </row>
    <row r="364" spans="21:27" ht="20.100000000000001" customHeight="1" x14ac:dyDescent="0.2">
      <c r="U364" s="2"/>
      <c r="V364" s="2"/>
      <c r="W364" s="2"/>
      <c r="X364" s="2"/>
      <c r="Y364" s="2"/>
      <c r="Z364" s="2"/>
      <c r="AA364" s="2"/>
    </row>
    <row r="365" spans="21:27" ht="20.100000000000001" customHeight="1" x14ac:dyDescent="0.2">
      <c r="U365" s="2"/>
      <c r="V365" s="2"/>
      <c r="W365" s="2"/>
      <c r="X365" s="2"/>
      <c r="Y365" s="2"/>
      <c r="Z365" s="2"/>
      <c r="AA365" s="2"/>
    </row>
    <row r="366" spans="21:27" ht="20.100000000000001" customHeight="1" x14ac:dyDescent="0.2">
      <c r="U366" s="2"/>
      <c r="V366" s="2"/>
      <c r="W366" s="2"/>
      <c r="X366" s="2"/>
      <c r="Y366" s="2"/>
      <c r="Z366" s="2"/>
      <c r="AA366" s="2"/>
    </row>
    <row r="367" spans="21:27" ht="20.100000000000001" customHeight="1" x14ac:dyDescent="0.2">
      <c r="U367" s="2"/>
      <c r="V367" s="2"/>
      <c r="W367" s="2"/>
      <c r="X367" s="2"/>
      <c r="Y367" s="2"/>
      <c r="Z367" s="2"/>
      <c r="AA367" s="2"/>
    </row>
    <row r="368" spans="21:27" ht="20.100000000000001" customHeight="1" x14ac:dyDescent="0.2">
      <c r="U368" s="2"/>
      <c r="V368" s="2"/>
      <c r="W368" s="2"/>
      <c r="X368" s="2"/>
      <c r="Y368" s="2"/>
      <c r="Z368" s="2"/>
      <c r="AA368" s="2"/>
    </row>
    <row r="369" spans="21:27" ht="20.100000000000001" customHeight="1" x14ac:dyDescent="0.2">
      <c r="U369" s="2"/>
      <c r="V369" s="2"/>
      <c r="W369" s="2"/>
      <c r="X369" s="2"/>
      <c r="Y369" s="2"/>
      <c r="Z369" s="2"/>
      <c r="AA369" s="2"/>
    </row>
    <row r="370" spans="21:27" ht="20.100000000000001" customHeight="1" x14ac:dyDescent="0.2">
      <c r="U370" s="2"/>
      <c r="V370" s="2"/>
      <c r="W370" s="2"/>
      <c r="X370" s="2"/>
      <c r="Y370" s="2"/>
      <c r="Z370" s="2"/>
      <c r="AA370" s="2"/>
    </row>
    <row r="371" spans="21:27" ht="20.100000000000001" customHeight="1" x14ac:dyDescent="0.2">
      <c r="U371" s="2"/>
      <c r="V371" s="2"/>
      <c r="W371" s="2"/>
      <c r="X371" s="2"/>
      <c r="Y371" s="2"/>
      <c r="Z371" s="2"/>
      <c r="AA371" s="2"/>
    </row>
    <row r="372" spans="21:27" ht="20.100000000000001" customHeight="1" x14ac:dyDescent="0.2">
      <c r="U372" s="2"/>
      <c r="V372" s="2"/>
      <c r="W372" s="2"/>
      <c r="X372" s="2"/>
      <c r="Y372" s="2"/>
      <c r="Z372" s="2"/>
      <c r="AA372" s="2"/>
    </row>
    <row r="373" spans="21:27" ht="20.100000000000001" customHeight="1" x14ac:dyDescent="0.2">
      <c r="U373" s="2"/>
      <c r="V373" s="2"/>
      <c r="W373" s="2"/>
      <c r="X373" s="2"/>
      <c r="Y373" s="2"/>
      <c r="Z373" s="2"/>
      <c r="AA373" s="2"/>
    </row>
    <row r="374" spans="21:27" ht="20.100000000000001" customHeight="1" x14ac:dyDescent="0.2">
      <c r="U374" s="2"/>
      <c r="V374" s="2"/>
      <c r="W374" s="2"/>
      <c r="X374" s="2"/>
      <c r="Y374" s="2"/>
      <c r="Z374" s="2"/>
      <c r="AA374" s="2"/>
    </row>
    <row r="375" spans="21:27" ht="20.100000000000001" customHeight="1" x14ac:dyDescent="0.2">
      <c r="U375" s="2"/>
      <c r="V375" s="2"/>
      <c r="W375" s="2"/>
      <c r="X375" s="2"/>
      <c r="Y375" s="2"/>
      <c r="Z375" s="2"/>
      <c r="AA375" s="2"/>
    </row>
    <row r="376" spans="21:27" ht="20.100000000000001" customHeight="1" x14ac:dyDescent="0.2">
      <c r="U376" s="2"/>
      <c r="V376" s="2"/>
      <c r="W376" s="2"/>
      <c r="X376" s="2"/>
      <c r="Y376" s="2"/>
      <c r="Z376" s="2"/>
      <c r="AA376" s="2"/>
    </row>
    <row r="377" spans="21:27" ht="20.100000000000001" customHeight="1" x14ac:dyDescent="0.2">
      <c r="U377" s="2"/>
      <c r="V377" s="2"/>
      <c r="W377" s="2"/>
      <c r="X377" s="2"/>
      <c r="Y377" s="2"/>
      <c r="Z377" s="2"/>
      <c r="AA377" s="2"/>
    </row>
    <row r="378" spans="21:27" ht="20.100000000000001" customHeight="1" x14ac:dyDescent="0.2">
      <c r="U378" s="2"/>
      <c r="V378" s="2"/>
      <c r="W378" s="2"/>
      <c r="X378" s="2"/>
      <c r="Y378" s="2"/>
      <c r="Z378" s="2"/>
      <c r="AA378" s="2"/>
    </row>
    <row r="379" spans="21:27" ht="20.100000000000001" customHeight="1" x14ac:dyDescent="0.2">
      <c r="U379" s="2"/>
      <c r="V379" s="2"/>
      <c r="W379" s="2"/>
      <c r="X379" s="2"/>
      <c r="Y379" s="2"/>
      <c r="Z379" s="2"/>
      <c r="AA379" s="2"/>
    </row>
    <row r="380" spans="21:27" ht="20.100000000000001" customHeight="1" x14ac:dyDescent="0.2">
      <c r="U380" s="2"/>
      <c r="V380" s="2"/>
      <c r="W380" s="2"/>
      <c r="X380" s="2"/>
      <c r="Y380" s="2"/>
      <c r="Z380" s="2"/>
      <c r="AA380" s="2"/>
    </row>
    <row r="381" spans="21:27" ht="20.100000000000001" customHeight="1" x14ac:dyDescent="0.2">
      <c r="U381" s="2"/>
      <c r="V381" s="2"/>
      <c r="W381" s="2"/>
      <c r="X381" s="2"/>
      <c r="Y381" s="2"/>
      <c r="Z381" s="2"/>
      <c r="AA381" s="2"/>
    </row>
    <row r="382" spans="21:27" ht="20.100000000000001" customHeight="1" x14ac:dyDescent="0.2">
      <c r="U382" s="2"/>
      <c r="V382" s="2"/>
      <c r="W382" s="2"/>
      <c r="X382" s="2"/>
      <c r="Y382" s="2"/>
      <c r="Z382" s="2"/>
      <c r="AA382" s="2"/>
    </row>
    <row r="383" spans="21:27" ht="20.100000000000001" customHeight="1" x14ac:dyDescent="0.2">
      <c r="U383" s="2"/>
      <c r="V383" s="2"/>
      <c r="W383" s="2"/>
      <c r="X383" s="2"/>
      <c r="Y383" s="2"/>
      <c r="Z383" s="2"/>
      <c r="AA383" s="2"/>
    </row>
    <row r="384" spans="21:27" ht="20.100000000000001" customHeight="1" x14ac:dyDescent="0.2">
      <c r="U384" s="2"/>
      <c r="V384" s="2"/>
      <c r="W384" s="2"/>
      <c r="X384" s="2"/>
      <c r="Y384" s="2"/>
      <c r="Z384" s="2"/>
      <c r="AA384" s="2"/>
    </row>
    <row r="385" spans="21:27" ht="20.100000000000001" customHeight="1" x14ac:dyDescent="0.2">
      <c r="U385" s="2"/>
      <c r="V385" s="2"/>
      <c r="W385" s="2"/>
      <c r="X385" s="2"/>
      <c r="Y385" s="2"/>
      <c r="Z385" s="2"/>
      <c r="AA385" s="2"/>
    </row>
    <row r="386" spans="21:27" ht="20.100000000000001" customHeight="1" x14ac:dyDescent="0.2">
      <c r="U386" s="2"/>
      <c r="V386" s="2"/>
      <c r="W386" s="2"/>
      <c r="X386" s="2"/>
      <c r="Y386" s="2"/>
      <c r="Z386" s="2"/>
      <c r="AA386" s="2"/>
    </row>
    <row r="387" spans="21:27" ht="20.100000000000001" customHeight="1" x14ac:dyDescent="0.2">
      <c r="U387" s="2"/>
      <c r="V387" s="2"/>
      <c r="W387" s="2"/>
      <c r="X387" s="2"/>
      <c r="Y387" s="2"/>
      <c r="Z387" s="2"/>
      <c r="AA387" s="2"/>
    </row>
    <row r="388" spans="21:27" ht="20.100000000000001" customHeight="1" x14ac:dyDescent="0.2">
      <c r="U388" s="2"/>
      <c r="V388" s="2"/>
      <c r="W388" s="2"/>
      <c r="X388" s="2"/>
      <c r="Y388" s="2"/>
      <c r="Z388" s="2"/>
      <c r="AA388" s="2"/>
    </row>
    <row r="389" spans="21:27" ht="20.100000000000001" customHeight="1" x14ac:dyDescent="0.2">
      <c r="U389" s="2"/>
      <c r="V389" s="2"/>
      <c r="W389" s="2"/>
      <c r="X389" s="2"/>
      <c r="Y389" s="2"/>
      <c r="Z389" s="2"/>
      <c r="AA389" s="2"/>
    </row>
    <row r="390" spans="21:27" ht="20.100000000000001" customHeight="1" x14ac:dyDescent="0.2">
      <c r="U390" s="2"/>
      <c r="V390" s="2"/>
      <c r="W390" s="2"/>
      <c r="X390" s="2"/>
      <c r="Y390" s="2"/>
      <c r="Z390" s="2"/>
      <c r="AA390" s="2"/>
    </row>
    <row r="391" spans="21:27" ht="20.100000000000001" customHeight="1" x14ac:dyDescent="0.2">
      <c r="U391" s="2"/>
      <c r="V391" s="2"/>
      <c r="W391" s="2"/>
      <c r="X391" s="2"/>
      <c r="Y391" s="2"/>
      <c r="Z391" s="2"/>
      <c r="AA391" s="2"/>
    </row>
    <row r="392" spans="21:27" ht="20.100000000000001" customHeight="1" x14ac:dyDescent="0.2">
      <c r="U392" s="2"/>
      <c r="V392" s="2"/>
      <c r="W392" s="2"/>
      <c r="X392" s="2"/>
      <c r="Y392" s="2"/>
      <c r="Z392" s="2"/>
      <c r="AA392" s="2"/>
    </row>
    <row r="393" spans="21:27" ht="20.100000000000001" customHeight="1" x14ac:dyDescent="0.2">
      <c r="U393" s="2"/>
      <c r="V393" s="2"/>
      <c r="W393" s="2"/>
      <c r="X393" s="2"/>
      <c r="Y393" s="2"/>
      <c r="Z393" s="2"/>
      <c r="AA393" s="2"/>
    </row>
    <row r="394" spans="21:27" ht="20.100000000000001" customHeight="1" x14ac:dyDescent="0.2">
      <c r="U394" s="2"/>
      <c r="V394" s="2"/>
      <c r="W394" s="2"/>
      <c r="X394" s="2"/>
      <c r="Y394" s="2"/>
      <c r="Z394" s="2"/>
      <c r="AA394" s="2"/>
    </row>
    <row r="395" spans="21:27" ht="20.100000000000001" customHeight="1" x14ac:dyDescent="0.2">
      <c r="U395" s="2"/>
      <c r="V395" s="2"/>
      <c r="W395" s="2"/>
      <c r="X395" s="2"/>
      <c r="Y395" s="2"/>
      <c r="Z395" s="2"/>
      <c r="AA395" s="2"/>
    </row>
    <row r="396" spans="21:27" ht="20.100000000000001" customHeight="1" x14ac:dyDescent="0.2">
      <c r="U396" s="2"/>
      <c r="V396" s="2"/>
      <c r="W396" s="2"/>
      <c r="X396" s="2"/>
      <c r="Y396" s="2"/>
      <c r="Z396" s="2"/>
      <c r="AA396" s="2"/>
    </row>
    <row r="397" spans="21:27" ht="20.100000000000001" customHeight="1" x14ac:dyDescent="0.2">
      <c r="U397" s="2"/>
      <c r="V397" s="2"/>
      <c r="W397" s="2"/>
      <c r="X397" s="2"/>
      <c r="Y397" s="2"/>
      <c r="Z397" s="2"/>
      <c r="AA397" s="2"/>
    </row>
    <row r="398" spans="21:27" ht="20.100000000000001" customHeight="1" x14ac:dyDescent="0.2">
      <c r="U398" s="2"/>
      <c r="V398" s="2"/>
      <c r="W398" s="2"/>
      <c r="X398" s="2"/>
      <c r="Y398" s="2"/>
      <c r="Z398" s="2"/>
      <c r="AA398" s="2"/>
    </row>
    <row r="399" spans="21:27" ht="20.100000000000001" customHeight="1" x14ac:dyDescent="0.2">
      <c r="U399" s="2"/>
      <c r="V399" s="2"/>
      <c r="W399" s="2"/>
      <c r="X399" s="2"/>
      <c r="Y399" s="2"/>
      <c r="Z399" s="2"/>
      <c r="AA399" s="2"/>
    </row>
    <row r="400" spans="21:27" ht="20.100000000000001" customHeight="1" x14ac:dyDescent="0.2">
      <c r="U400" s="2"/>
      <c r="V400" s="2"/>
      <c r="W400" s="2"/>
      <c r="X400" s="2"/>
      <c r="Y400" s="2"/>
      <c r="Z400" s="2"/>
      <c r="AA400" s="2"/>
    </row>
    <row r="401" spans="21:27" ht="20.100000000000001" customHeight="1" x14ac:dyDescent="0.2">
      <c r="U401" s="2"/>
      <c r="V401" s="2"/>
      <c r="W401" s="2"/>
      <c r="X401" s="2"/>
      <c r="Y401" s="2"/>
      <c r="Z401" s="2"/>
      <c r="AA401" s="2"/>
    </row>
    <row r="402" spans="21:27" ht="20.100000000000001" customHeight="1" x14ac:dyDescent="0.2">
      <c r="U402" s="2"/>
      <c r="V402" s="2"/>
      <c r="W402" s="2"/>
      <c r="X402" s="2"/>
      <c r="Y402" s="2"/>
      <c r="Z402" s="2"/>
      <c r="AA402" s="2"/>
    </row>
    <row r="403" spans="21:27" ht="20.100000000000001" customHeight="1" x14ac:dyDescent="0.2">
      <c r="U403" s="2"/>
      <c r="V403" s="2"/>
      <c r="W403" s="2"/>
      <c r="X403" s="2"/>
      <c r="Y403" s="2"/>
      <c r="Z403" s="2"/>
      <c r="AA403" s="2"/>
    </row>
    <row r="404" spans="21:27" ht="20.100000000000001" customHeight="1" x14ac:dyDescent="0.2">
      <c r="U404" s="2"/>
      <c r="V404" s="2"/>
      <c r="W404" s="2"/>
      <c r="X404" s="2"/>
      <c r="Y404" s="2"/>
      <c r="Z404" s="2"/>
      <c r="AA404" s="2"/>
    </row>
    <row r="405" spans="21:27" ht="20.100000000000001" customHeight="1" x14ac:dyDescent="0.2">
      <c r="U405" s="2"/>
      <c r="V405" s="2"/>
      <c r="W405" s="2"/>
      <c r="X405" s="2"/>
      <c r="Y405" s="2"/>
      <c r="Z405" s="2"/>
      <c r="AA405" s="2"/>
    </row>
    <row r="406" spans="21:27" ht="20.100000000000001" customHeight="1" x14ac:dyDescent="0.2">
      <c r="U406" s="2"/>
      <c r="V406" s="2"/>
      <c r="W406" s="2"/>
      <c r="X406" s="2"/>
      <c r="Y406" s="2"/>
      <c r="Z406" s="2"/>
      <c r="AA406" s="2"/>
    </row>
    <row r="407" spans="21:27" ht="20.100000000000001" customHeight="1" x14ac:dyDescent="0.2">
      <c r="U407" s="2"/>
      <c r="V407" s="2"/>
      <c r="W407" s="2"/>
      <c r="X407" s="2"/>
      <c r="Y407" s="2"/>
      <c r="Z407" s="2"/>
      <c r="AA407" s="2"/>
    </row>
    <row r="408" spans="21:27" ht="20.100000000000001" customHeight="1" x14ac:dyDescent="0.2">
      <c r="U408" s="2"/>
      <c r="V408" s="2"/>
      <c r="W408" s="2"/>
      <c r="X408" s="2"/>
      <c r="Y408" s="2"/>
      <c r="Z408" s="2"/>
      <c r="AA408" s="2"/>
    </row>
    <row r="409" spans="21:27" ht="20.100000000000001" customHeight="1" x14ac:dyDescent="0.2">
      <c r="U409" s="2"/>
      <c r="V409" s="2"/>
      <c r="W409" s="2"/>
      <c r="X409" s="2"/>
      <c r="Y409" s="2"/>
      <c r="Z409" s="2"/>
      <c r="AA409" s="2"/>
    </row>
    <row r="410" spans="21:27" ht="20.100000000000001" customHeight="1" x14ac:dyDescent="0.2">
      <c r="U410" s="2"/>
      <c r="V410" s="2"/>
      <c r="W410" s="2"/>
      <c r="X410" s="2"/>
      <c r="Y410" s="2"/>
      <c r="Z410" s="2"/>
      <c r="AA410" s="2"/>
    </row>
    <row r="411" spans="21:27" ht="20.100000000000001" customHeight="1" x14ac:dyDescent="0.2">
      <c r="U411" s="2"/>
      <c r="V411" s="2"/>
      <c r="W411" s="2"/>
      <c r="X411" s="2"/>
      <c r="Y411" s="2"/>
      <c r="Z411" s="2"/>
      <c r="AA411" s="2"/>
    </row>
    <row r="412" spans="21:27" ht="20.100000000000001" customHeight="1" x14ac:dyDescent="0.2">
      <c r="U412" s="2"/>
      <c r="V412" s="2"/>
      <c r="W412" s="2"/>
      <c r="X412" s="2"/>
      <c r="Y412" s="2"/>
      <c r="Z412" s="2"/>
      <c r="AA412" s="2"/>
    </row>
    <row r="413" spans="21:27" ht="20.100000000000001" customHeight="1" x14ac:dyDescent="0.2">
      <c r="U413" s="2"/>
      <c r="V413" s="2"/>
      <c r="W413" s="2"/>
      <c r="X413" s="2"/>
      <c r="Y413" s="2"/>
      <c r="Z413" s="2"/>
      <c r="AA413" s="2"/>
    </row>
    <row r="414" spans="21:27" ht="20.100000000000001" customHeight="1" x14ac:dyDescent="0.2">
      <c r="U414" s="2"/>
      <c r="V414" s="2"/>
      <c r="W414" s="2"/>
      <c r="X414" s="2"/>
      <c r="Y414" s="2"/>
      <c r="Z414" s="2"/>
      <c r="AA414" s="2"/>
    </row>
    <row r="415" spans="21:27" ht="20.100000000000001" customHeight="1" x14ac:dyDescent="0.2">
      <c r="U415" s="2"/>
      <c r="V415" s="2"/>
      <c r="W415" s="2"/>
      <c r="X415" s="2"/>
      <c r="Y415" s="2"/>
      <c r="Z415" s="2"/>
      <c r="AA415" s="2"/>
    </row>
    <row r="416" spans="21:27" ht="20.100000000000001" customHeight="1" x14ac:dyDescent="0.2">
      <c r="U416" s="2"/>
      <c r="V416" s="2"/>
      <c r="W416" s="2"/>
      <c r="X416" s="2"/>
      <c r="Y416" s="2"/>
      <c r="Z416" s="2"/>
      <c r="AA416" s="2"/>
    </row>
    <row r="417" spans="21:27" ht="20.100000000000001" customHeight="1" x14ac:dyDescent="0.2">
      <c r="U417" s="2"/>
      <c r="V417" s="2"/>
      <c r="W417" s="2"/>
      <c r="X417" s="2"/>
      <c r="Y417" s="2"/>
      <c r="Z417" s="2"/>
      <c r="AA417" s="2"/>
    </row>
    <row r="418" spans="21:27" ht="20.100000000000001" customHeight="1" x14ac:dyDescent="0.2">
      <c r="U418" s="2"/>
      <c r="V418" s="2"/>
      <c r="W418" s="2"/>
      <c r="X418" s="2"/>
      <c r="Y418" s="2"/>
      <c r="Z418" s="2"/>
      <c r="AA418" s="2"/>
    </row>
    <row r="419" spans="21:27" ht="20.100000000000001" customHeight="1" x14ac:dyDescent="0.2">
      <c r="U419" s="2"/>
      <c r="V419" s="2"/>
      <c r="W419" s="2"/>
      <c r="X419" s="2"/>
      <c r="Y419" s="2"/>
      <c r="Z419" s="2"/>
      <c r="AA419" s="2"/>
    </row>
    <row r="420" spans="21:27" ht="20.100000000000001" customHeight="1" x14ac:dyDescent="0.2">
      <c r="U420" s="2"/>
      <c r="V420" s="2"/>
      <c r="W420" s="2"/>
      <c r="X420" s="2"/>
      <c r="Y420" s="2"/>
      <c r="Z420" s="2"/>
      <c r="AA420" s="2"/>
    </row>
    <row r="421" spans="21:27" ht="20.100000000000001" customHeight="1" x14ac:dyDescent="0.2">
      <c r="U421" s="2"/>
      <c r="V421" s="2"/>
      <c r="W421" s="2"/>
      <c r="X421" s="2"/>
      <c r="Y421" s="2"/>
      <c r="Z421" s="2"/>
      <c r="AA421" s="2"/>
    </row>
    <row r="422" spans="21:27" ht="20.100000000000001" customHeight="1" x14ac:dyDescent="0.2">
      <c r="U422" s="2"/>
      <c r="V422" s="2"/>
      <c r="W422" s="2"/>
      <c r="X422" s="2"/>
      <c r="Y422" s="2"/>
      <c r="Z422" s="2"/>
      <c r="AA422" s="2"/>
    </row>
    <row r="423" spans="21:27" ht="20.100000000000001" customHeight="1" x14ac:dyDescent="0.2">
      <c r="U423" s="2"/>
      <c r="V423" s="2"/>
      <c r="W423" s="2"/>
      <c r="X423" s="2"/>
      <c r="Y423" s="2"/>
      <c r="Z423" s="2"/>
      <c r="AA423" s="2"/>
    </row>
    <row r="424" spans="21:27" ht="20.100000000000001" customHeight="1" x14ac:dyDescent="0.2">
      <c r="U424" s="2"/>
      <c r="V424" s="2"/>
      <c r="W424" s="2"/>
      <c r="X424" s="2"/>
      <c r="Y424" s="2"/>
      <c r="Z424" s="2"/>
      <c r="AA424" s="2"/>
    </row>
    <row r="425" spans="21:27" ht="20.100000000000001" customHeight="1" x14ac:dyDescent="0.2">
      <c r="U425" s="2"/>
      <c r="V425" s="2"/>
      <c r="W425" s="2"/>
      <c r="X425" s="2"/>
      <c r="Y425" s="2"/>
      <c r="Z425" s="2"/>
      <c r="AA425" s="2"/>
    </row>
    <row r="426" spans="21:27" ht="20.100000000000001" customHeight="1" x14ac:dyDescent="0.2">
      <c r="U426" s="2"/>
      <c r="V426" s="2"/>
      <c r="W426" s="2"/>
      <c r="X426" s="2"/>
      <c r="Y426" s="2"/>
      <c r="Z426" s="2"/>
      <c r="AA426" s="2"/>
    </row>
    <row r="427" spans="21:27" ht="20.100000000000001" customHeight="1" x14ac:dyDescent="0.2">
      <c r="U427" s="2"/>
      <c r="V427" s="2"/>
      <c r="W427" s="2"/>
      <c r="X427" s="2"/>
      <c r="Y427" s="2"/>
      <c r="Z427" s="2"/>
      <c r="AA427" s="2"/>
    </row>
    <row r="428" spans="21:27" ht="20.100000000000001" customHeight="1" x14ac:dyDescent="0.2">
      <c r="U428" s="2"/>
      <c r="V428" s="2"/>
      <c r="W428" s="2"/>
      <c r="X428" s="2"/>
      <c r="Y428" s="2"/>
      <c r="Z428" s="2"/>
      <c r="AA428" s="2"/>
    </row>
    <row r="429" spans="21:27" ht="20.100000000000001" customHeight="1" x14ac:dyDescent="0.2">
      <c r="U429" s="2"/>
      <c r="V429" s="2"/>
      <c r="W429" s="2"/>
      <c r="X429" s="2"/>
      <c r="Y429" s="2"/>
      <c r="Z429" s="2"/>
      <c r="AA429" s="2"/>
    </row>
    <row r="430" spans="21:27" ht="20.100000000000001" customHeight="1" x14ac:dyDescent="0.2">
      <c r="U430" s="2"/>
      <c r="V430" s="2"/>
      <c r="W430" s="2"/>
      <c r="X430" s="2"/>
      <c r="Y430" s="2"/>
      <c r="Z430" s="2"/>
      <c r="AA430" s="2"/>
    </row>
    <row r="431" spans="21:27" ht="20.100000000000001" customHeight="1" x14ac:dyDescent="0.2">
      <c r="U431" s="2"/>
      <c r="V431" s="2"/>
      <c r="W431" s="2"/>
      <c r="X431" s="2"/>
      <c r="Y431" s="2"/>
      <c r="Z431" s="2"/>
      <c r="AA431" s="2"/>
    </row>
    <row r="432" spans="21:27" ht="20.100000000000001" customHeight="1" x14ac:dyDescent="0.2">
      <c r="U432" s="2"/>
      <c r="V432" s="2"/>
      <c r="W432" s="2"/>
      <c r="X432" s="2"/>
      <c r="Y432" s="2"/>
      <c r="Z432" s="2"/>
      <c r="AA432" s="2"/>
    </row>
    <row r="433" spans="21:27" ht="20.100000000000001" customHeight="1" x14ac:dyDescent="0.2">
      <c r="U433" s="2"/>
      <c r="V433" s="2"/>
      <c r="W433" s="2"/>
      <c r="X433" s="2"/>
      <c r="Y433" s="2"/>
      <c r="Z433" s="2"/>
      <c r="AA433" s="2"/>
    </row>
    <row r="434" spans="21:27" ht="20.100000000000001" customHeight="1" x14ac:dyDescent="0.2">
      <c r="U434" s="2"/>
      <c r="V434" s="2"/>
      <c r="W434" s="2"/>
      <c r="X434" s="2"/>
      <c r="Y434" s="2"/>
      <c r="Z434" s="2"/>
      <c r="AA434" s="2"/>
    </row>
    <row r="435" spans="21:27" ht="20.100000000000001" customHeight="1" x14ac:dyDescent="0.2">
      <c r="U435" s="2"/>
      <c r="V435" s="2"/>
      <c r="W435" s="2"/>
      <c r="X435" s="2"/>
      <c r="Y435" s="2"/>
      <c r="Z435" s="2"/>
      <c r="AA435" s="2"/>
    </row>
    <row r="436" spans="21:27" ht="20.100000000000001" customHeight="1" x14ac:dyDescent="0.2">
      <c r="U436" s="2"/>
      <c r="V436" s="2"/>
      <c r="W436" s="2"/>
      <c r="X436" s="2"/>
      <c r="Y436" s="2"/>
      <c r="Z436" s="2"/>
      <c r="AA436" s="2"/>
    </row>
    <row r="437" spans="21:27" ht="20.100000000000001" customHeight="1" x14ac:dyDescent="0.2">
      <c r="U437" s="2"/>
      <c r="V437" s="2"/>
      <c r="W437" s="2"/>
      <c r="X437" s="2"/>
      <c r="Y437" s="2"/>
      <c r="Z437" s="2"/>
      <c r="AA437" s="2"/>
    </row>
    <row r="438" spans="21:27" ht="20.100000000000001" customHeight="1" x14ac:dyDescent="0.2">
      <c r="U438" s="2"/>
      <c r="V438" s="2"/>
      <c r="W438" s="2"/>
      <c r="X438" s="2"/>
      <c r="Y438" s="2"/>
      <c r="Z438" s="2"/>
      <c r="AA438" s="2"/>
    </row>
    <row r="439" spans="21:27" ht="20.100000000000001" customHeight="1" x14ac:dyDescent="0.2">
      <c r="U439" s="2"/>
      <c r="V439" s="2"/>
      <c r="W439" s="2"/>
      <c r="X439" s="2"/>
      <c r="Y439" s="2"/>
      <c r="Z439" s="2"/>
      <c r="AA439" s="2"/>
    </row>
    <row r="440" spans="21:27" ht="20.100000000000001" customHeight="1" x14ac:dyDescent="0.2">
      <c r="U440" s="2"/>
      <c r="V440" s="2"/>
      <c r="W440" s="2"/>
      <c r="X440" s="2"/>
      <c r="Y440" s="2"/>
      <c r="Z440" s="2"/>
      <c r="AA440" s="2"/>
    </row>
    <row r="441" spans="21:27" ht="20.100000000000001" customHeight="1" x14ac:dyDescent="0.2">
      <c r="U441" s="2"/>
      <c r="V441" s="2"/>
      <c r="W441" s="2"/>
      <c r="X441" s="2"/>
      <c r="Y441" s="2"/>
      <c r="Z441" s="2"/>
      <c r="AA441" s="2"/>
    </row>
    <row r="442" spans="21:27" ht="20.100000000000001" customHeight="1" x14ac:dyDescent="0.2">
      <c r="U442" s="2"/>
      <c r="V442" s="2"/>
      <c r="W442" s="2"/>
      <c r="X442" s="2"/>
      <c r="Y442" s="2"/>
      <c r="Z442" s="2"/>
      <c r="AA442" s="2"/>
    </row>
    <row r="443" spans="21:27" ht="20.100000000000001" customHeight="1" x14ac:dyDescent="0.2">
      <c r="U443" s="2"/>
      <c r="V443" s="2"/>
      <c r="W443" s="2"/>
      <c r="X443" s="2"/>
      <c r="Y443" s="2"/>
      <c r="Z443" s="2"/>
      <c r="AA443" s="2"/>
    </row>
    <row r="444" spans="21:27" ht="20.100000000000001" customHeight="1" x14ac:dyDescent="0.2">
      <c r="U444" s="2"/>
      <c r="V444" s="2"/>
      <c r="W444" s="2"/>
      <c r="X444" s="2"/>
      <c r="Y444" s="2"/>
      <c r="Z444" s="2"/>
      <c r="AA444" s="2"/>
    </row>
    <row r="445" spans="21:27" ht="20.100000000000001" customHeight="1" x14ac:dyDescent="0.2">
      <c r="U445" s="2"/>
      <c r="V445" s="2"/>
      <c r="W445" s="2"/>
      <c r="X445" s="2"/>
      <c r="Y445" s="2"/>
      <c r="Z445" s="2"/>
      <c r="AA445" s="2"/>
    </row>
    <row r="446" spans="21:27" ht="20.100000000000001" customHeight="1" x14ac:dyDescent="0.2">
      <c r="U446" s="2"/>
      <c r="V446" s="2"/>
      <c r="W446" s="2"/>
      <c r="X446" s="2"/>
      <c r="Y446" s="2"/>
      <c r="Z446" s="2"/>
      <c r="AA446" s="2"/>
    </row>
    <row r="447" spans="21:27" ht="20.100000000000001" customHeight="1" x14ac:dyDescent="0.2">
      <c r="U447" s="2"/>
      <c r="V447" s="2"/>
      <c r="W447" s="2"/>
      <c r="X447" s="2"/>
      <c r="Y447" s="2"/>
      <c r="Z447" s="2"/>
      <c r="AA447" s="2"/>
    </row>
    <row r="448" spans="21:27" ht="20.100000000000001" customHeight="1" x14ac:dyDescent="0.2">
      <c r="U448" s="2"/>
      <c r="V448" s="2"/>
      <c r="W448" s="2"/>
      <c r="X448" s="2"/>
      <c r="Y448" s="2"/>
      <c r="Z448" s="2"/>
      <c r="AA448" s="2"/>
    </row>
    <row r="449" spans="21:27" ht="20.100000000000001" customHeight="1" x14ac:dyDescent="0.2">
      <c r="U449" s="2"/>
      <c r="V449" s="2"/>
      <c r="W449" s="2"/>
      <c r="X449" s="2"/>
      <c r="Y449" s="2"/>
      <c r="Z449" s="2"/>
      <c r="AA449" s="2"/>
    </row>
    <row r="450" spans="21:27" ht="20.100000000000001" customHeight="1" x14ac:dyDescent="0.2">
      <c r="U450" s="2"/>
      <c r="V450" s="2"/>
      <c r="W450" s="2"/>
      <c r="X450" s="2"/>
      <c r="Y450" s="2"/>
      <c r="Z450" s="2"/>
      <c r="AA450" s="2"/>
    </row>
    <row r="451" spans="21:27" ht="20.100000000000001" customHeight="1" x14ac:dyDescent="0.2">
      <c r="U451" s="2"/>
      <c r="V451" s="2"/>
      <c r="W451" s="2"/>
      <c r="X451" s="2"/>
      <c r="Y451" s="2"/>
      <c r="Z451" s="2"/>
      <c r="AA451" s="2"/>
    </row>
    <row r="452" spans="21:27" ht="20.100000000000001" customHeight="1" x14ac:dyDescent="0.2">
      <c r="U452" s="2"/>
      <c r="V452" s="2"/>
      <c r="W452" s="2"/>
      <c r="X452" s="2"/>
      <c r="Y452" s="2"/>
      <c r="Z452" s="2"/>
      <c r="AA452" s="2"/>
    </row>
    <row r="453" spans="21:27" ht="20.100000000000001" customHeight="1" x14ac:dyDescent="0.2">
      <c r="U453" s="2"/>
      <c r="V453" s="2"/>
      <c r="W453" s="2"/>
      <c r="X453" s="2"/>
      <c r="Y453" s="2"/>
      <c r="Z453" s="2"/>
      <c r="AA453" s="2"/>
    </row>
    <row r="454" spans="21:27" ht="20.100000000000001" customHeight="1" x14ac:dyDescent="0.2">
      <c r="U454" s="2"/>
      <c r="V454" s="2"/>
      <c r="W454" s="2"/>
      <c r="X454" s="2"/>
      <c r="Y454" s="2"/>
      <c r="Z454" s="2"/>
      <c r="AA454" s="2"/>
    </row>
    <row r="455" spans="21:27" ht="20.100000000000001" customHeight="1" x14ac:dyDescent="0.2">
      <c r="U455" s="2"/>
      <c r="V455" s="2"/>
      <c r="W455" s="2"/>
      <c r="X455" s="2"/>
      <c r="Y455" s="2"/>
      <c r="Z455" s="2"/>
      <c r="AA455" s="2"/>
    </row>
    <row r="456" spans="21:27" ht="20.100000000000001" customHeight="1" x14ac:dyDescent="0.2">
      <c r="U456" s="2"/>
      <c r="V456" s="2"/>
      <c r="W456" s="2"/>
      <c r="X456" s="2"/>
      <c r="Y456" s="2"/>
      <c r="Z456" s="2"/>
      <c r="AA456" s="2"/>
    </row>
    <row r="457" spans="21:27" ht="20.100000000000001" customHeight="1" x14ac:dyDescent="0.2">
      <c r="U457" s="2"/>
      <c r="V457" s="2"/>
      <c r="W457" s="2"/>
      <c r="X457" s="2"/>
      <c r="Y457" s="2"/>
      <c r="Z457" s="2"/>
      <c r="AA457" s="2"/>
    </row>
    <row r="458" spans="21:27" ht="20.100000000000001" customHeight="1" x14ac:dyDescent="0.2">
      <c r="U458" s="2"/>
      <c r="V458" s="2"/>
      <c r="W458" s="2"/>
      <c r="X458" s="2"/>
      <c r="Y458" s="2"/>
      <c r="Z458" s="2"/>
      <c r="AA458" s="2"/>
    </row>
    <row r="459" spans="21:27" ht="20.100000000000001" customHeight="1" x14ac:dyDescent="0.2">
      <c r="U459" s="2"/>
      <c r="V459" s="2"/>
      <c r="W459" s="2"/>
      <c r="X459" s="2"/>
      <c r="Y459" s="2"/>
      <c r="Z459" s="2"/>
      <c r="AA459" s="2"/>
    </row>
    <row r="460" spans="21:27" ht="20.100000000000001" customHeight="1" x14ac:dyDescent="0.2">
      <c r="U460" s="2"/>
      <c r="V460" s="2"/>
      <c r="W460" s="2"/>
      <c r="X460" s="2"/>
      <c r="Y460" s="2"/>
      <c r="Z460" s="2"/>
      <c r="AA460" s="2"/>
    </row>
    <row r="461" spans="21:27" ht="20.100000000000001" customHeight="1" x14ac:dyDescent="0.2">
      <c r="U461" s="2"/>
      <c r="V461" s="2"/>
      <c r="W461" s="2"/>
      <c r="X461" s="2"/>
      <c r="Y461" s="2"/>
      <c r="Z461" s="2"/>
      <c r="AA461" s="2"/>
    </row>
    <row r="462" spans="21:27" ht="20.100000000000001" customHeight="1" x14ac:dyDescent="0.2">
      <c r="U462" s="2"/>
      <c r="V462" s="2"/>
      <c r="W462" s="2"/>
      <c r="X462" s="2"/>
      <c r="Y462" s="2"/>
      <c r="Z462" s="2"/>
      <c r="AA462" s="2"/>
    </row>
    <row r="463" spans="21:27" ht="20.100000000000001" customHeight="1" x14ac:dyDescent="0.2">
      <c r="U463" s="2"/>
      <c r="V463" s="2"/>
      <c r="W463" s="2"/>
      <c r="X463" s="2"/>
      <c r="Y463" s="2"/>
      <c r="Z463" s="2"/>
      <c r="AA463" s="2"/>
    </row>
    <row r="464" spans="21:27" ht="20.100000000000001" customHeight="1" x14ac:dyDescent="0.2">
      <c r="U464" s="2"/>
      <c r="V464" s="2"/>
      <c r="W464" s="2"/>
      <c r="X464" s="2"/>
      <c r="Y464" s="2"/>
      <c r="Z464" s="2"/>
      <c r="AA464" s="2"/>
    </row>
    <row r="465" spans="21:27" ht="20.100000000000001" customHeight="1" x14ac:dyDescent="0.2">
      <c r="U465" s="2"/>
      <c r="V465" s="2"/>
      <c r="W465" s="2"/>
      <c r="X465" s="2"/>
      <c r="Y465" s="2"/>
      <c r="Z465" s="2"/>
      <c r="AA465" s="2"/>
    </row>
    <row r="466" spans="21:27" ht="20.100000000000001" customHeight="1" x14ac:dyDescent="0.2">
      <c r="U466" s="2"/>
      <c r="V466" s="2"/>
      <c r="W466" s="2"/>
      <c r="X466" s="2"/>
      <c r="Y466" s="2"/>
      <c r="Z466" s="2"/>
      <c r="AA466" s="2"/>
    </row>
    <row r="467" spans="21:27" ht="20.100000000000001" customHeight="1" x14ac:dyDescent="0.2">
      <c r="U467" s="2"/>
      <c r="V467" s="2"/>
      <c r="W467" s="2"/>
      <c r="X467" s="2"/>
      <c r="Y467" s="2"/>
      <c r="Z467" s="2"/>
      <c r="AA467" s="2"/>
    </row>
    <row r="468" spans="21:27" ht="20.100000000000001" customHeight="1" x14ac:dyDescent="0.2">
      <c r="U468" s="2"/>
      <c r="V468" s="2"/>
      <c r="W468" s="2"/>
      <c r="X468" s="2"/>
      <c r="Y468" s="2"/>
      <c r="Z468" s="2"/>
      <c r="AA468" s="2"/>
    </row>
    <row r="469" spans="21:27" ht="20.100000000000001" customHeight="1" x14ac:dyDescent="0.2">
      <c r="U469" s="2"/>
      <c r="V469" s="2"/>
      <c r="W469" s="2"/>
      <c r="X469" s="2"/>
      <c r="Y469" s="2"/>
      <c r="Z469" s="2"/>
      <c r="AA469" s="2"/>
    </row>
    <row r="470" spans="21:27" ht="20.100000000000001" customHeight="1" x14ac:dyDescent="0.2">
      <c r="U470" s="2"/>
      <c r="V470" s="2"/>
      <c r="W470" s="2"/>
      <c r="X470" s="2"/>
      <c r="Y470" s="2"/>
      <c r="Z470" s="2"/>
      <c r="AA470" s="2"/>
    </row>
    <row r="471" spans="21:27" ht="20.100000000000001" customHeight="1" x14ac:dyDescent="0.2">
      <c r="U471" s="2"/>
      <c r="V471" s="2"/>
      <c r="W471" s="2"/>
      <c r="X471" s="2"/>
      <c r="Y471" s="2"/>
      <c r="Z471" s="2"/>
      <c r="AA471" s="2"/>
    </row>
    <row r="472" spans="21:27" ht="20.100000000000001" customHeight="1" x14ac:dyDescent="0.2">
      <c r="U472" s="2"/>
      <c r="V472" s="2"/>
      <c r="W472" s="2"/>
      <c r="X472" s="2"/>
      <c r="Y472" s="2"/>
      <c r="Z472" s="2"/>
      <c r="AA472" s="2"/>
    </row>
    <row r="473" spans="21:27" ht="20.100000000000001" customHeight="1" x14ac:dyDescent="0.2">
      <c r="U473" s="2"/>
      <c r="V473" s="2"/>
      <c r="W473" s="2"/>
      <c r="X473" s="2"/>
      <c r="Y473" s="2"/>
      <c r="Z473" s="2"/>
      <c r="AA473" s="2"/>
    </row>
    <row r="474" spans="21:27" ht="20.100000000000001" customHeight="1" x14ac:dyDescent="0.2">
      <c r="U474" s="2"/>
      <c r="V474" s="2"/>
      <c r="W474" s="2"/>
      <c r="X474" s="2"/>
      <c r="Y474" s="2"/>
      <c r="Z474" s="2"/>
      <c r="AA474" s="2"/>
    </row>
    <row r="475" spans="21:27" ht="20.100000000000001" customHeight="1" x14ac:dyDescent="0.2">
      <c r="U475" s="2"/>
      <c r="V475" s="2"/>
      <c r="W475" s="2"/>
      <c r="X475" s="2"/>
      <c r="Y475" s="2"/>
      <c r="Z475" s="2"/>
      <c r="AA475" s="2"/>
    </row>
    <row r="476" spans="21:27" ht="20.100000000000001" customHeight="1" x14ac:dyDescent="0.2">
      <c r="U476" s="2"/>
      <c r="V476" s="2"/>
      <c r="W476" s="2"/>
      <c r="X476" s="2"/>
      <c r="Y476" s="2"/>
      <c r="Z476" s="2"/>
      <c r="AA476" s="2"/>
    </row>
    <row r="477" spans="21:27" ht="20.100000000000001" customHeight="1" x14ac:dyDescent="0.2">
      <c r="U477" s="2"/>
      <c r="V477" s="2"/>
      <c r="W477" s="2"/>
      <c r="X477" s="2"/>
      <c r="Y477" s="2"/>
      <c r="Z477" s="2"/>
      <c r="AA477" s="2"/>
    </row>
    <row r="478" spans="21:27" ht="20.100000000000001" customHeight="1" x14ac:dyDescent="0.2">
      <c r="U478" s="2"/>
      <c r="V478" s="2"/>
      <c r="W478" s="2"/>
      <c r="X478" s="2"/>
      <c r="Y478" s="2"/>
      <c r="Z478" s="2"/>
      <c r="AA478" s="2"/>
    </row>
    <row r="479" spans="21:27" ht="20.100000000000001" customHeight="1" x14ac:dyDescent="0.2">
      <c r="U479" s="2"/>
      <c r="V479" s="2"/>
      <c r="W479" s="2"/>
      <c r="X479" s="2"/>
      <c r="Y479" s="2"/>
      <c r="Z479" s="2"/>
      <c r="AA479" s="2"/>
    </row>
    <row r="480" spans="21:27" ht="20.100000000000001" customHeight="1" x14ac:dyDescent="0.2">
      <c r="U480" s="2"/>
      <c r="V480" s="2"/>
      <c r="W480" s="2"/>
      <c r="X480" s="2"/>
      <c r="Y480" s="2"/>
      <c r="Z480" s="2"/>
      <c r="AA480" s="2"/>
    </row>
    <row r="481" spans="21:27" ht="20.100000000000001" customHeight="1" x14ac:dyDescent="0.2">
      <c r="U481" s="2"/>
      <c r="V481" s="2"/>
      <c r="W481" s="2"/>
      <c r="X481" s="2"/>
      <c r="Y481" s="2"/>
      <c r="Z481" s="2"/>
      <c r="AA481" s="2"/>
    </row>
    <row r="482" spans="21:27" ht="20.100000000000001" customHeight="1" x14ac:dyDescent="0.2">
      <c r="U482" s="2"/>
      <c r="V482" s="2"/>
      <c r="W482" s="2"/>
      <c r="X482" s="2"/>
      <c r="Y482" s="2"/>
      <c r="Z482" s="2"/>
      <c r="AA482" s="2"/>
    </row>
    <row r="483" spans="21:27" ht="20.100000000000001" customHeight="1" x14ac:dyDescent="0.2">
      <c r="U483" s="2"/>
      <c r="V483" s="2"/>
      <c r="W483" s="2"/>
      <c r="X483" s="2"/>
      <c r="Y483" s="2"/>
      <c r="Z483" s="2"/>
      <c r="AA483" s="2"/>
    </row>
    <row r="484" spans="21:27" ht="20.100000000000001" customHeight="1" x14ac:dyDescent="0.2">
      <c r="U484" s="2"/>
      <c r="V484" s="2"/>
      <c r="W484" s="2"/>
      <c r="X484" s="2"/>
      <c r="Y484" s="2"/>
      <c r="Z484" s="2"/>
      <c r="AA484" s="2"/>
    </row>
    <row r="485" spans="21:27" ht="20.100000000000001" customHeight="1" x14ac:dyDescent="0.2">
      <c r="U485" s="2"/>
      <c r="V485" s="2"/>
      <c r="W485" s="2"/>
      <c r="X485" s="2"/>
      <c r="Y485" s="2"/>
      <c r="Z485" s="2"/>
      <c r="AA485" s="2"/>
    </row>
    <row r="486" spans="21:27" ht="20.100000000000001" customHeight="1" x14ac:dyDescent="0.2">
      <c r="U486" s="2"/>
      <c r="V486" s="2"/>
      <c r="W486" s="2"/>
      <c r="X486" s="2"/>
      <c r="Y486" s="2"/>
      <c r="Z486" s="2"/>
      <c r="AA486" s="2"/>
    </row>
    <row r="487" spans="21:27" ht="20.100000000000001" customHeight="1" x14ac:dyDescent="0.2">
      <c r="U487" s="2"/>
      <c r="V487" s="2"/>
      <c r="W487" s="2"/>
      <c r="X487" s="2"/>
      <c r="Y487" s="2"/>
      <c r="Z487" s="2"/>
      <c r="AA487" s="2"/>
    </row>
    <row r="488" spans="21:27" ht="20.100000000000001" customHeight="1" x14ac:dyDescent="0.2">
      <c r="U488" s="2"/>
      <c r="V488" s="2"/>
      <c r="W488" s="2"/>
      <c r="X488" s="2"/>
      <c r="Y488" s="2"/>
      <c r="Z488" s="2"/>
      <c r="AA488" s="2"/>
    </row>
    <row r="489" spans="21:27" ht="20.100000000000001" customHeight="1" x14ac:dyDescent="0.2">
      <c r="U489" s="2"/>
      <c r="V489" s="2"/>
      <c r="W489" s="2"/>
      <c r="X489" s="2"/>
      <c r="Y489" s="2"/>
      <c r="Z489" s="2"/>
      <c r="AA489" s="2"/>
    </row>
    <row r="490" spans="21:27" ht="20.100000000000001" customHeight="1" x14ac:dyDescent="0.2">
      <c r="U490" s="2"/>
      <c r="V490" s="2"/>
      <c r="W490" s="2"/>
      <c r="X490" s="2"/>
      <c r="Y490" s="2"/>
      <c r="Z490" s="2"/>
      <c r="AA490" s="2"/>
    </row>
    <row r="491" spans="21:27" ht="20.100000000000001" customHeight="1" x14ac:dyDescent="0.2">
      <c r="U491" s="2"/>
      <c r="V491" s="2"/>
      <c r="W491" s="2"/>
      <c r="X491" s="2"/>
      <c r="Y491" s="2"/>
      <c r="Z491" s="2"/>
      <c r="AA491" s="2"/>
    </row>
    <row r="492" spans="21:27" ht="20.100000000000001" customHeight="1" x14ac:dyDescent="0.2">
      <c r="U492" s="2"/>
      <c r="V492" s="2"/>
      <c r="W492" s="2"/>
      <c r="X492" s="2"/>
      <c r="Y492" s="2"/>
      <c r="Z492" s="2"/>
      <c r="AA492" s="2"/>
    </row>
    <row r="493" spans="21:27" ht="20.100000000000001" customHeight="1" x14ac:dyDescent="0.2">
      <c r="U493" s="2"/>
      <c r="V493" s="2"/>
      <c r="W493" s="2"/>
      <c r="X493" s="2"/>
      <c r="Y493" s="2"/>
      <c r="Z493" s="2"/>
      <c r="AA493" s="2"/>
    </row>
    <row r="494" spans="21:27" ht="20.100000000000001" customHeight="1" x14ac:dyDescent="0.2">
      <c r="U494" s="2"/>
      <c r="V494" s="2"/>
      <c r="W494" s="2"/>
      <c r="X494" s="2"/>
      <c r="Y494" s="2"/>
      <c r="Z494" s="2"/>
      <c r="AA494" s="2"/>
    </row>
    <row r="495" spans="21:27" ht="20.100000000000001" customHeight="1" x14ac:dyDescent="0.2">
      <c r="U495" s="2"/>
      <c r="V495" s="2"/>
      <c r="W495" s="2"/>
      <c r="X495" s="2"/>
      <c r="Y495" s="2"/>
      <c r="Z495" s="2"/>
      <c r="AA495" s="2"/>
    </row>
    <row r="496" spans="21:27" ht="20.100000000000001" customHeight="1" x14ac:dyDescent="0.2">
      <c r="U496" s="2"/>
      <c r="V496" s="2"/>
      <c r="W496" s="2"/>
      <c r="X496" s="2"/>
      <c r="Y496" s="2"/>
      <c r="Z496" s="2"/>
      <c r="AA496" s="2"/>
    </row>
    <row r="497" spans="21:27" ht="20.100000000000001" customHeight="1" x14ac:dyDescent="0.2">
      <c r="U497" s="2"/>
      <c r="V497" s="2"/>
      <c r="W497" s="2"/>
      <c r="X497" s="2"/>
      <c r="Y497" s="2"/>
      <c r="Z497" s="2"/>
      <c r="AA497" s="2"/>
    </row>
    <row r="498" spans="21:27" ht="20.100000000000001" customHeight="1" x14ac:dyDescent="0.2">
      <c r="U498" s="2"/>
      <c r="V498" s="2"/>
      <c r="W498" s="2"/>
      <c r="X498" s="2"/>
      <c r="Y498" s="2"/>
      <c r="Z498" s="2"/>
      <c r="AA498" s="2"/>
    </row>
    <row r="499" spans="21:27" ht="20.100000000000001" customHeight="1" x14ac:dyDescent="0.2">
      <c r="U499" s="2"/>
      <c r="V499" s="2"/>
      <c r="W499" s="2"/>
      <c r="X499" s="2"/>
      <c r="Y499" s="2"/>
      <c r="Z499" s="2"/>
      <c r="AA499" s="2"/>
    </row>
    <row r="500" spans="21:27" ht="20.100000000000001" customHeight="1" x14ac:dyDescent="0.2">
      <c r="U500" s="2"/>
      <c r="V500" s="2"/>
      <c r="W500" s="2"/>
      <c r="X500" s="2"/>
      <c r="Y500" s="2"/>
      <c r="Z500" s="2"/>
      <c r="AA500" s="2"/>
    </row>
    <row r="501" spans="21:27" ht="20.100000000000001" customHeight="1" x14ac:dyDescent="0.2">
      <c r="U501" s="2"/>
      <c r="V501" s="2"/>
      <c r="W501" s="2"/>
      <c r="X501" s="2"/>
      <c r="Y501" s="2"/>
      <c r="Z501" s="2"/>
      <c r="AA501" s="2"/>
    </row>
    <row r="502" spans="21:27" ht="20.100000000000001" customHeight="1" x14ac:dyDescent="0.2">
      <c r="U502" s="2"/>
      <c r="V502" s="2"/>
      <c r="W502" s="2"/>
      <c r="X502" s="2"/>
      <c r="Y502" s="2"/>
      <c r="Z502" s="2"/>
      <c r="AA502" s="2"/>
    </row>
    <row r="503" spans="21:27" ht="20.100000000000001" customHeight="1" x14ac:dyDescent="0.2">
      <c r="U503" s="2"/>
      <c r="V503" s="2"/>
      <c r="W503" s="2"/>
      <c r="X503" s="2"/>
      <c r="Y503" s="2"/>
      <c r="Z503" s="2"/>
      <c r="AA503" s="2"/>
    </row>
    <row r="504" spans="21:27" ht="20.100000000000001" customHeight="1" x14ac:dyDescent="0.2">
      <c r="U504" s="2"/>
      <c r="V504" s="2"/>
      <c r="W504" s="2"/>
      <c r="X504" s="2"/>
      <c r="Y504" s="2"/>
      <c r="Z504" s="2"/>
      <c r="AA504" s="2"/>
    </row>
    <row r="505" spans="21:27" ht="20.100000000000001" customHeight="1" x14ac:dyDescent="0.2">
      <c r="U505" s="2"/>
      <c r="V505" s="2"/>
      <c r="W505" s="2"/>
      <c r="X505" s="2"/>
      <c r="Y505" s="2"/>
      <c r="Z505" s="2"/>
      <c r="AA505" s="2"/>
    </row>
    <row r="506" spans="21:27" ht="20.100000000000001" customHeight="1" x14ac:dyDescent="0.2">
      <c r="U506" s="2"/>
      <c r="V506" s="2"/>
      <c r="W506" s="2"/>
      <c r="X506" s="2"/>
      <c r="Y506" s="2"/>
      <c r="Z506" s="2"/>
      <c r="AA506" s="2"/>
    </row>
    <row r="507" spans="21:27" ht="20.100000000000001" customHeight="1" x14ac:dyDescent="0.2">
      <c r="U507" s="2"/>
      <c r="V507" s="2"/>
      <c r="W507" s="2"/>
      <c r="X507" s="2"/>
      <c r="Y507" s="2"/>
      <c r="Z507" s="2"/>
      <c r="AA507" s="2"/>
    </row>
    <row r="508" spans="21:27" ht="20.100000000000001" customHeight="1" x14ac:dyDescent="0.2">
      <c r="U508" s="2"/>
      <c r="V508" s="2"/>
      <c r="W508" s="2"/>
      <c r="X508" s="2"/>
      <c r="Y508" s="2"/>
      <c r="Z508" s="2"/>
      <c r="AA508" s="2"/>
    </row>
    <row r="509" spans="21:27" ht="20.100000000000001" customHeight="1" x14ac:dyDescent="0.2">
      <c r="U509" s="2"/>
      <c r="V509" s="2"/>
      <c r="W509" s="2"/>
      <c r="X509" s="2"/>
      <c r="Y509" s="2"/>
      <c r="Z509" s="2"/>
      <c r="AA509" s="2"/>
    </row>
    <row r="510" spans="21:27" ht="20.100000000000001" customHeight="1" x14ac:dyDescent="0.2">
      <c r="U510" s="2"/>
      <c r="V510" s="2"/>
      <c r="W510" s="2"/>
      <c r="X510" s="2"/>
      <c r="Y510" s="2"/>
      <c r="Z510" s="2"/>
      <c r="AA510" s="2"/>
    </row>
    <row r="511" spans="21:27" ht="20.100000000000001" customHeight="1" x14ac:dyDescent="0.2">
      <c r="U511" s="2"/>
      <c r="V511" s="2"/>
      <c r="W511" s="2"/>
      <c r="X511" s="2"/>
      <c r="Y511" s="2"/>
      <c r="Z511" s="2"/>
      <c r="AA511" s="2"/>
    </row>
    <row r="512" spans="21:27" ht="20.100000000000001" customHeight="1" x14ac:dyDescent="0.2">
      <c r="U512" s="2"/>
      <c r="V512" s="2"/>
      <c r="W512" s="2"/>
      <c r="X512" s="2"/>
      <c r="Y512" s="2"/>
      <c r="Z512" s="2"/>
      <c r="AA512" s="2"/>
    </row>
    <row r="513" spans="21:27" ht="20.100000000000001" customHeight="1" x14ac:dyDescent="0.2">
      <c r="U513" s="2"/>
      <c r="V513" s="2"/>
      <c r="W513" s="2"/>
      <c r="X513" s="2"/>
      <c r="Y513" s="2"/>
      <c r="Z513" s="2"/>
      <c r="AA513" s="2"/>
    </row>
    <row r="514" spans="21:27" ht="20.100000000000001" customHeight="1" x14ac:dyDescent="0.2">
      <c r="U514" s="2"/>
      <c r="V514" s="2"/>
      <c r="W514" s="2"/>
      <c r="X514" s="2"/>
      <c r="Y514" s="2"/>
      <c r="Z514" s="2"/>
      <c r="AA514" s="2"/>
    </row>
    <row r="515" spans="21:27" ht="20.100000000000001" customHeight="1" x14ac:dyDescent="0.2">
      <c r="U515" s="2"/>
      <c r="V515" s="2"/>
      <c r="W515" s="2"/>
      <c r="X515" s="2"/>
      <c r="Y515" s="2"/>
      <c r="Z515" s="2"/>
      <c r="AA515" s="2"/>
    </row>
    <row r="516" spans="21:27" ht="20.100000000000001" customHeight="1" x14ac:dyDescent="0.2">
      <c r="U516" s="2"/>
      <c r="V516" s="2"/>
      <c r="W516" s="2"/>
      <c r="X516" s="2"/>
      <c r="Y516" s="2"/>
      <c r="Z516" s="2"/>
      <c r="AA516" s="2"/>
    </row>
    <row r="517" spans="21:27" ht="20.100000000000001" customHeight="1" x14ac:dyDescent="0.2">
      <c r="U517" s="2"/>
      <c r="V517" s="2"/>
      <c r="W517" s="2"/>
      <c r="X517" s="2"/>
      <c r="Y517" s="2"/>
      <c r="Z517" s="2"/>
      <c r="AA517" s="2"/>
    </row>
    <row r="518" spans="21:27" ht="20.100000000000001" customHeight="1" x14ac:dyDescent="0.2">
      <c r="U518" s="2"/>
      <c r="V518" s="2"/>
      <c r="W518" s="2"/>
      <c r="X518" s="2"/>
      <c r="Y518" s="2"/>
      <c r="Z518" s="2"/>
      <c r="AA518" s="2"/>
    </row>
    <row r="519" spans="21:27" ht="20.100000000000001" customHeight="1" x14ac:dyDescent="0.2">
      <c r="U519" s="2"/>
      <c r="V519" s="2"/>
      <c r="W519" s="2"/>
      <c r="X519" s="2"/>
      <c r="Y519" s="2"/>
      <c r="Z519" s="2"/>
      <c r="AA519" s="2"/>
    </row>
    <row r="520" spans="21:27" ht="20.100000000000001" customHeight="1" x14ac:dyDescent="0.2">
      <c r="U520" s="2"/>
      <c r="V520" s="2"/>
      <c r="W520" s="2"/>
      <c r="X520" s="2"/>
      <c r="Y520" s="2"/>
      <c r="Z520" s="2"/>
      <c r="AA520" s="2"/>
    </row>
    <row r="521" spans="21:27" ht="20.100000000000001" customHeight="1" x14ac:dyDescent="0.2">
      <c r="U521" s="2"/>
      <c r="V521" s="2"/>
      <c r="W521" s="2"/>
      <c r="X521" s="2"/>
      <c r="Y521" s="2"/>
      <c r="Z521" s="2"/>
      <c r="AA521" s="2"/>
    </row>
    <row r="522" spans="21:27" ht="20.100000000000001" customHeight="1" x14ac:dyDescent="0.2">
      <c r="U522" s="2"/>
      <c r="V522" s="2"/>
      <c r="W522" s="2"/>
      <c r="X522" s="2"/>
      <c r="Y522" s="2"/>
      <c r="Z522" s="2"/>
      <c r="AA522" s="2"/>
    </row>
    <row r="523" spans="21:27" ht="20.100000000000001" customHeight="1" x14ac:dyDescent="0.2">
      <c r="U523" s="2"/>
      <c r="V523" s="2"/>
      <c r="W523" s="2"/>
      <c r="X523" s="2"/>
      <c r="Y523" s="2"/>
      <c r="Z523" s="2"/>
      <c r="AA523" s="2"/>
    </row>
    <row r="524" spans="21:27" ht="20.100000000000001" customHeight="1" x14ac:dyDescent="0.2">
      <c r="U524" s="2"/>
      <c r="V524" s="2"/>
      <c r="W524" s="2"/>
      <c r="X524" s="2"/>
      <c r="Y524" s="2"/>
      <c r="Z524" s="2"/>
      <c r="AA524" s="2"/>
    </row>
    <row r="525" spans="21:27" ht="20.100000000000001" customHeight="1" x14ac:dyDescent="0.2">
      <c r="U525" s="2"/>
      <c r="V525" s="2"/>
      <c r="W525" s="2"/>
      <c r="X525" s="2"/>
      <c r="Y525" s="2"/>
      <c r="Z525" s="2"/>
      <c r="AA525" s="2"/>
    </row>
    <row r="526" spans="21:27" ht="20.100000000000001" customHeight="1" x14ac:dyDescent="0.2">
      <c r="U526" s="2"/>
      <c r="V526" s="2"/>
      <c r="W526" s="2"/>
      <c r="X526" s="2"/>
      <c r="Y526" s="2"/>
      <c r="Z526" s="2"/>
      <c r="AA526" s="2"/>
    </row>
    <row r="527" spans="21:27" ht="20.100000000000001" customHeight="1" x14ac:dyDescent="0.2">
      <c r="U527" s="2"/>
      <c r="V527" s="2"/>
      <c r="W527" s="2"/>
      <c r="X527" s="2"/>
      <c r="Y527" s="2"/>
      <c r="Z527" s="2"/>
      <c r="AA527" s="2"/>
    </row>
    <row r="528" spans="21:27" ht="20.100000000000001" customHeight="1" x14ac:dyDescent="0.2">
      <c r="U528" s="2"/>
      <c r="V528" s="2"/>
      <c r="W528" s="2"/>
      <c r="X528" s="2"/>
      <c r="Y528" s="2"/>
      <c r="Z528" s="2"/>
      <c r="AA528" s="2"/>
    </row>
    <row r="529" spans="21:27" ht="20.100000000000001" customHeight="1" x14ac:dyDescent="0.2">
      <c r="U529" s="2"/>
      <c r="V529" s="2"/>
      <c r="W529" s="2"/>
      <c r="X529" s="2"/>
      <c r="Y529" s="2"/>
      <c r="Z529" s="2"/>
      <c r="AA529" s="2"/>
    </row>
    <row r="530" spans="21:27" ht="20.100000000000001" customHeight="1" x14ac:dyDescent="0.2">
      <c r="U530" s="2"/>
      <c r="V530" s="2"/>
      <c r="W530" s="2"/>
      <c r="X530" s="2"/>
      <c r="Y530" s="2"/>
      <c r="Z530" s="2"/>
      <c r="AA530" s="2"/>
    </row>
    <row r="531" spans="21:27" ht="20.100000000000001" customHeight="1" x14ac:dyDescent="0.2">
      <c r="U531" s="2"/>
      <c r="V531" s="2"/>
      <c r="W531" s="2"/>
      <c r="X531" s="2"/>
      <c r="Y531" s="2"/>
      <c r="Z531" s="2"/>
      <c r="AA531" s="2"/>
    </row>
    <row r="532" spans="21:27" ht="20.100000000000001" customHeight="1" x14ac:dyDescent="0.2">
      <c r="U532" s="2"/>
      <c r="V532" s="2"/>
      <c r="W532" s="2"/>
      <c r="X532" s="2"/>
      <c r="Y532" s="2"/>
      <c r="Z532" s="2"/>
      <c r="AA532" s="2"/>
    </row>
    <row r="533" spans="21:27" ht="20.100000000000001" customHeight="1" x14ac:dyDescent="0.2">
      <c r="U533" s="2"/>
      <c r="V533" s="2"/>
      <c r="W533" s="2"/>
      <c r="X533" s="2"/>
      <c r="Y533" s="2"/>
      <c r="Z533" s="2"/>
      <c r="AA533" s="2"/>
    </row>
    <row r="534" spans="21:27" ht="20.100000000000001" customHeight="1" x14ac:dyDescent="0.2">
      <c r="U534" s="2"/>
      <c r="V534" s="2"/>
      <c r="W534" s="2"/>
      <c r="X534" s="2"/>
      <c r="Y534" s="2"/>
      <c r="Z534" s="2"/>
      <c r="AA534" s="2"/>
    </row>
    <row r="535" spans="21:27" ht="20.100000000000001" customHeight="1" x14ac:dyDescent="0.2">
      <c r="U535" s="2"/>
      <c r="V535" s="2"/>
      <c r="W535" s="2"/>
      <c r="X535" s="2"/>
      <c r="Y535" s="2"/>
      <c r="Z535" s="2"/>
      <c r="AA535" s="2"/>
    </row>
    <row r="536" spans="21:27" ht="20.100000000000001" customHeight="1" x14ac:dyDescent="0.2">
      <c r="U536" s="2"/>
      <c r="V536" s="2"/>
      <c r="W536" s="2"/>
      <c r="X536" s="2"/>
      <c r="Y536" s="2"/>
      <c r="Z536" s="2"/>
      <c r="AA536" s="2"/>
    </row>
    <row r="537" spans="21:27" ht="20.100000000000001" customHeight="1" x14ac:dyDescent="0.2">
      <c r="U537" s="2"/>
      <c r="V537" s="2"/>
      <c r="W537" s="2"/>
      <c r="X537" s="2"/>
      <c r="Y537" s="2"/>
      <c r="Z537" s="2"/>
      <c r="AA537" s="2"/>
    </row>
    <row r="538" spans="21:27" ht="20.100000000000001" customHeight="1" x14ac:dyDescent="0.2">
      <c r="U538" s="2"/>
      <c r="V538" s="2"/>
      <c r="W538" s="2"/>
      <c r="X538" s="2"/>
      <c r="Y538" s="2"/>
      <c r="Z538" s="2"/>
      <c r="AA538" s="2"/>
    </row>
    <row r="539" spans="21:27" ht="20.100000000000001" customHeight="1" x14ac:dyDescent="0.2">
      <c r="U539" s="2"/>
      <c r="V539" s="2"/>
      <c r="W539" s="2"/>
      <c r="X539" s="2"/>
      <c r="Y539" s="2"/>
      <c r="Z539" s="2"/>
      <c r="AA539" s="2"/>
    </row>
    <row r="540" spans="21:27" ht="20.100000000000001" customHeight="1" x14ac:dyDescent="0.2">
      <c r="U540" s="2"/>
      <c r="V540" s="2"/>
      <c r="W540" s="2"/>
      <c r="X540" s="2"/>
      <c r="Y540" s="2"/>
      <c r="Z540" s="2"/>
      <c r="AA540" s="2"/>
    </row>
    <row r="541" spans="21:27" ht="20.100000000000001" customHeight="1" x14ac:dyDescent="0.2">
      <c r="U541" s="2"/>
      <c r="V541" s="2"/>
      <c r="W541" s="2"/>
      <c r="X541" s="2"/>
      <c r="Y541" s="2"/>
      <c r="Z541" s="2"/>
      <c r="AA541" s="2"/>
    </row>
    <row r="542" spans="21:27" ht="20.100000000000001" customHeight="1" x14ac:dyDescent="0.2">
      <c r="U542" s="2"/>
      <c r="V542" s="2"/>
      <c r="W542" s="2"/>
      <c r="X542" s="2"/>
      <c r="Y542" s="2"/>
      <c r="Z542" s="2"/>
      <c r="AA542" s="2"/>
    </row>
    <row r="543" spans="21:27" ht="20.100000000000001" customHeight="1" x14ac:dyDescent="0.2">
      <c r="U543" s="2"/>
      <c r="V543" s="2"/>
      <c r="W543" s="2"/>
      <c r="X543" s="2"/>
      <c r="Y543" s="2"/>
      <c r="Z543" s="2"/>
      <c r="AA543" s="2"/>
    </row>
    <row r="544" spans="21:27" ht="20.100000000000001" customHeight="1" x14ac:dyDescent="0.2">
      <c r="U544" s="2"/>
      <c r="V544" s="2"/>
      <c r="W544" s="2"/>
      <c r="X544" s="2"/>
      <c r="Y544" s="2"/>
      <c r="Z544" s="2"/>
      <c r="AA544" s="2"/>
    </row>
    <row r="545" spans="21:27" ht="20.100000000000001" customHeight="1" x14ac:dyDescent="0.2">
      <c r="U545" s="2"/>
      <c r="V545" s="2"/>
      <c r="W545" s="2"/>
      <c r="X545" s="2"/>
      <c r="Y545" s="2"/>
      <c r="Z545" s="2"/>
      <c r="AA545" s="2"/>
    </row>
    <row r="546" spans="21:27" ht="20.100000000000001" customHeight="1" x14ac:dyDescent="0.2">
      <c r="U546" s="2"/>
      <c r="V546" s="2"/>
      <c r="W546" s="2"/>
      <c r="X546" s="2"/>
      <c r="Y546" s="2"/>
      <c r="Z546" s="2"/>
      <c r="AA546" s="2"/>
    </row>
    <row r="547" spans="21:27" ht="20.100000000000001" customHeight="1" x14ac:dyDescent="0.2">
      <c r="U547" s="2"/>
      <c r="V547" s="2"/>
      <c r="W547" s="2"/>
      <c r="X547" s="2"/>
      <c r="Y547" s="2"/>
      <c r="Z547" s="2"/>
      <c r="AA547" s="2"/>
    </row>
    <row r="548" spans="21:27" ht="20.100000000000001" customHeight="1" x14ac:dyDescent="0.2">
      <c r="U548" s="2"/>
      <c r="V548" s="2"/>
      <c r="W548" s="2"/>
      <c r="X548" s="2"/>
      <c r="Y548" s="2"/>
      <c r="Z548" s="2"/>
      <c r="AA548" s="2"/>
    </row>
    <row r="549" spans="21:27" ht="20.100000000000001" customHeight="1" x14ac:dyDescent="0.2">
      <c r="U549" s="2"/>
      <c r="V549" s="2"/>
      <c r="W549" s="2"/>
      <c r="X549" s="2"/>
      <c r="Y549" s="2"/>
      <c r="Z549" s="2"/>
      <c r="AA549" s="2"/>
    </row>
    <row r="550" spans="21:27" ht="20.100000000000001" customHeight="1" x14ac:dyDescent="0.2">
      <c r="U550" s="2"/>
      <c r="V550" s="2"/>
      <c r="W550" s="2"/>
      <c r="X550" s="2"/>
      <c r="Y550" s="2"/>
      <c r="Z550" s="2"/>
      <c r="AA550" s="2"/>
    </row>
    <row r="551" spans="21:27" ht="20.100000000000001" customHeight="1" x14ac:dyDescent="0.2">
      <c r="U551" s="2"/>
      <c r="V551" s="2"/>
      <c r="W551" s="2"/>
      <c r="X551" s="2"/>
      <c r="Y551" s="2"/>
      <c r="Z551" s="2"/>
      <c r="AA551" s="2"/>
    </row>
    <row r="552" spans="21:27" ht="20.100000000000001" customHeight="1" x14ac:dyDescent="0.2">
      <c r="U552" s="2"/>
      <c r="V552" s="2"/>
      <c r="W552" s="2"/>
      <c r="X552" s="2"/>
      <c r="Y552" s="2"/>
      <c r="Z552" s="2"/>
      <c r="AA552" s="2"/>
    </row>
    <row r="553" spans="21:27" ht="20.100000000000001" customHeight="1" x14ac:dyDescent="0.2">
      <c r="U553" s="2"/>
      <c r="V553" s="2"/>
      <c r="W553" s="2"/>
      <c r="X553" s="2"/>
      <c r="Y553" s="2"/>
      <c r="Z553" s="2"/>
      <c r="AA553" s="2"/>
    </row>
    <row r="554" spans="21:27" ht="20.100000000000001" customHeight="1" x14ac:dyDescent="0.2">
      <c r="U554" s="2"/>
      <c r="V554" s="2"/>
      <c r="W554" s="2"/>
      <c r="X554" s="2"/>
      <c r="Y554" s="2"/>
      <c r="Z554" s="2"/>
      <c r="AA554" s="2"/>
    </row>
    <row r="555" spans="21:27" ht="20.100000000000001" customHeight="1" x14ac:dyDescent="0.2">
      <c r="U555" s="2"/>
      <c r="V555" s="2"/>
      <c r="W555" s="2"/>
      <c r="X555" s="2"/>
      <c r="Y555" s="2"/>
      <c r="Z555" s="2"/>
      <c r="AA555" s="2"/>
    </row>
    <row r="556" spans="21:27" ht="20.100000000000001" customHeight="1" x14ac:dyDescent="0.2">
      <c r="U556" s="2"/>
      <c r="V556" s="2"/>
      <c r="W556" s="2"/>
      <c r="X556" s="2"/>
      <c r="Y556" s="2"/>
      <c r="Z556" s="2"/>
      <c r="AA556" s="2"/>
    </row>
    <row r="557" spans="21:27" ht="20.100000000000001" customHeight="1" x14ac:dyDescent="0.2">
      <c r="U557" s="2"/>
      <c r="V557" s="2"/>
      <c r="W557" s="2"/>
      <c r="X557" s="2"/>
      <c r="Y557" s="2"/>
      <c r="Z557" s="2"/>
      <c r="AA557" s="2"/>
    </row>
    <row r="558" spans="21:27" ht="20.100000000000001" customHeight="1" x14ac:dyDescent="0.2">
      <c r="U558" s="2"/>
      <c r="V558" s="2"/>
      <c r="W558" s="2"/>
      <c r="X558" s="2"/>
      <c r="Y558" s="2"/>
      <c r="Z558" s="2"/>
      <c r="AA558" s="2"/>
    </row>
    <row r="559" spans="21:27" ht="20.100000000000001" customHeight="1" x14ac:dyDescent="0.2">
      <c r="U559" s="2"/>
      <c r="V559" s="2"/>
      <c r="W559" s="2"/>
      <c r="X559" s="2"/>
      <c r="Y559" s="2"/>
      <c r="Z559" s="2"/>
      <c r="AA559" s="2"/>
    </row>
    <row r="560" spans="21:27" ht="20.100000000000001" customHeight="1" x14ac:dyDescent="0.2">
      <c r="U560" s="2"/>
      <c r="V560" s="2"/>
      <c r="W560" s="2"/>
      <c r="X560" s="2"/>
      <c r="Y560" s="2"/>
      <c r="Z560" s="2"/>
      <c r="AA560" s="2"/>
    </row>
    <row r="561" spans="21:27" ht="20.100000000000001" customHeight="1" x14ac:dyDescent="0.2">
      <c r="U561" s="2"/>
      <c r="V561" s="2"/>
      <c r="W561" s="2"/>
      <c r="X561" s="2"/>
      <c r="Y561" s="2"/>
      <c r="Z561" s="2"/>
      <c r="AA561" s="2"/>
    </row>
    <row r="562" spans="21:27" ht="20.100000000000001" customHeight="1" x14ac:dyDescent="0.2">
      <c r="U562" s="2"/>
      <c r="V562" s="2"/>
      <c r="W562" s="2"/>
      <c r="X562" s="2"/>
      <c r="Y562" s="2"/>
      <c r="Z562" s="2"/>
      <c r="AA562" s="2"/>
    </row>
    <row r="563" spans="21:27" ht="20.100000000000001" customHeight="1" x14ac:dyDescent="0.2">
      <c r="U563" s="2"/>
      <c r="V563" s="2"/>
      <c r="W563" s="2"/>
      <c r="X563" s="2"/>
      <c r="Y563" s="2"/>
      <c r="Z563" s="2"/>
      <c r="AA563" s="2"/>
    </row>
    <row r="564" spans="21:27" ht="20.100000000000001" customHeight="1" x14ac:dyDescent="0.2">
      <c r="U564" s="2"/>
      <c r="V564" s="2"/>
      <c r="W564" s="2"/>
      <c r="X564" s="2"/>
      <c r="Y564" s="2"/>
      <c r="Z564" s="2"/>
      <c r="AA564" s="2"/>
    </row>
    <row r="565" spans="21:27" ht="20.100000000000001" customHeight="1" x14ac:dyDescent="0.2">
      <c r="U565" s="2"/>
      <c r="V565" s="2"/>
      <c r="W565" s="2"/>
      <c r="X565" s="2"/>
      <c r="Y565" s="2"/>
      <c r="Z565" s="2"/>
      <c r="AA565" s="2"/>
    </row>
    <row r="566" spans="21:27" ht="20.100000000000001" customHeight="1" x14ac:dyDescent="0.2">
      <c r="U566" s="2"/>
      <c r="V566" s="2"/>
      <c r="W566" s="2"/>
      <c r="X566" s="2"/>
      <c r="Y566" s="2"/>
      <c r="Z566" s="2"/>
      <c r="AA566" s="2"/>
    </row>
    <row r="567" spans="21:27" ht="20.100000000000001" customHeight="1" x14ac:dyDescent="0.2">
      <c r="U567" s="2"/>
      <c r="V567" s="2"/>
      <c r="W567" s="2"/>
      <c r="X567" s="2"/>
      <c r="Y567" s="2"/>
      <c r="Z567" s="2"/>
      <c r="AA567" s="2"/>
    </row>
    <row r="568" spans="21:27" ht="20.100000000000001" customHeight="1" x14ac:dyDescent="0.2">
      <c r="U568" s="2"/>
      <c r="V568" s="2"/>
      <c r="W568" s="2"/>
      <c r="X568" s="2"/>
      <c r="Y568" s="2"/>
      <c r="Z568" s="2"/>
      <c r="AA568" s="2"/>
    </row>
    <row r="569" spans="21:27" ht="20.100000000000001" customHeight="1" x14ac:dyDescent="0.2">
      <c r="U569" s="2"/>
      <c r="V569" s="2"/>
      <c r="W569" s="2"/>
      <c r="X569" s="2"/>
      <c r="Y569" s="2"/>
      <c r="Z569" s="2"/>
      <c r="AA569" s="2"/>
    </row>
    <row r="570" spans="21:27" ht="20.100000000000001" customHeight="1" x14ac:dyDescent="0.2">
      <c r="U570" s="2"/>
      <c r="V570" s="2"/>
      <c r="W570" s="2"/>
      <c r="X570" s="2"/>
      <c r="Y570" s="2"/>
      <c r="Z570" s="2"/>
      <c r="AA570" s="2"/>
    </row>
    <row r="571" spans="21:27" ht="20.100000000000001" customHeight="1" x14ac:dyDescent="0.2">
      <c r="U571" s="2"/>
      <c r="V571" s="2"/>
      <c r="W571" s="2"/>
      <c r="X571" s="2"/>
      <c r="Y571" s="2"/>
      <c r="Z571" s="2"/>
      <c r="AA571" s="2"/>
    </row>
    <row r="572" spans="21:27" ht="20.100000000000001" customHeight="1" x14ac:dyDescent="0.2">
      <c r="U572" s="2"/>
      <c r="V572" s="2"/>
      <c r="W572" s="2"/>
      <c r="X572" s="2"/>
      <c r="Y572" s="2"/>
      <c r="Z572" s="2"/>
      <c r="AA572" s="2"/>
    </row>
    <row r="573" spans="21:27" ht="20.100000000000001" customHeight="1" x14ac:dyDescent="0.2">
      <c r="U573" s="2"/>
      <c r="V573" s="2"/>
      <c r="W573" s="2"/>
      <c r="X573" s="2"/>
      <c r="Y573" s="2"/>
      <c r="Z573" s="2"/>
      <c r="AA573" s="2"/>
    </row>
    <row r="574" spans="21:27" ht="20.100000000000001" customHeight="1" x14ac:dyDescent="0.2">
      <c r="U574" s="2"/>
      <c r="V574" s="2"/>
      <c r="W574" s="2"/>
      <c r="X574" s="2"/>
      <c r="Y574" s="2"/>
      <c r="Z574" s="2"/>
      <c r="AA574" s="2"/>
    </row>
    <row r="575" spans="21:27" ht="20.100000000000001" customHeight="1" x14ac:dyDescent="0.2">
      <c r="U575" s="2"/>
      <c r="V575" s="2"/>
      <c r="W575" s="2"/>
      <c r="X575" s="2"/>
      <c r="Y575" s="2"/>
      <c r="Z575" s="2"/>
      <c r="AA575" s="2"/>
    </row>
    <row r="576" spans="21:27" ht="20.100000000000001" customHeight="1" x14ac:dyDescent="0.2">
      <c r="U576" s="2"/>
      <c r="V576" s="2"/>
      <c r="W576" s="2"/>
      <c r="X576" s="2"/>
      <c r="Y576" s="2"/>
      <c r="Z576" s="2"/>
      <c r="AA576" s="2"/>
    </row>
    <row r="577" spans="21:27" ht="20.100000000000001" customHeight="1" x14ac:dyDescent="0.2">
      <c r="U577" s="2"/>
      <c r="V577" s="2"/>
      <c r="W577" s="2"/>
      <c r="X577" s="2"/>
      <c r="Y577" s="2"/>
      <c r="Z577" s="2"/>
      <c r="AA577" s="2"/>
    </row>
    <row r="578" spans="21:27" ht="20.100000000000001" customHeight="1" x14ac:dyDescent="0.2">
      <c r="U578" s="2"/>
      <c r="V578" s="2"/>
      <c r="W578" s="2"/>
      <c r="X578" s="2"/>
      <c r="Y578" s="2"/>
      <c r="Z578" s="2"/>
      <c r="AA578" s="2"/>
    </row>
    <row r="579" spans="21:27" ht="20.100000000000001" customHeight="1" x14ac:dyDescent="0.2">
      <c r="U579" s="2"/>
      <c r="V579" s="2"/>
      <c r="W579" s="2"/>
      <c r="X579" s="2"/>
      <c r="Y579" s="2"/>
      <c r="Z579" s="2"/>
      <c r="AA579" s="2"/>
    </row>
    <row r="580" spans="21:27" ht="20.100000000000001" customHeight="1" x14ac:dyDescent="0.2">
      <c r="U580" s="2"/>
      <c r="V580" s="2"/>
      <c r="W580" s="2"/>
      <c r="X580" s="2"/>
      <c r="Y580" s="2"/>
      <c r="Z580" s="2"/>
      <c r="AA580" s="2"/>
    </row>
    <row r="581" spans="21:27" ht="20.100000000000001" customHeight="1" x14ac:dyDescent="0.2">
      <c r="U581" s="2"/>
      <c r="V581" s="2"/>
      <c r="W581" s="2"/>
      <c r="X581" s="2"/>
      <c r="Y581" s="2"/>
      <c r="Z581" s="2"/>
      <c r="AA581" s="2"/>
    </row>
    <row r="582" spans="21:27" ht="20.100000000000001" customHeight="1" x14ac:dyDescent="0.2">
      <c r="U582" s="2"/>
      <c r="V582" s="2"/>
      <c r="W582" s="2"/>
      <c r="X582" s="2"/>
      <c r="Y582" s="2"/>
      <c r="Z582" s="2"/>
      <c r="AA582" s="2"/>
    </row>
    <row r="583" spans="21:27" ht="20.100000000000001" customHeight="1" x14ac:dyDescent="0.2">
      <c r="U583" s="2"/>
      <c r="V583" s="2"/>
      <c r="W583" s="2"/>
      <c r="X583" s="2"/>
      <c r="Y583" s="2"/>
      <c r="Z583" s="2"/>
      <c r="AA583" s="2"/>
    </row>
    <row r="584" spans="21:27" ht="20.100000000000001" customHeight="1" x14ac:dyDescent="0.2">
      <c r="U584" s="2"/>
      <c r="V584" s="2"/>
      <c r="W584" s="2"/>
      <c r="X584" s="2"/>
      <c r="Y584" s="2"/>
      <c r="Z584" s="2"/>
      <c r="AA584" s="2"/>
    </row>
    <row r="585" spans="21:27" ht="20.100000000000001" customHeight="1" x14ac:dyDescent="0.2">
      <c r="U585" s="2"/>
      <c r="V585" s="2"/>
      <c r="W585" s="2"/>
      <c r="X585" s="2"/>
      <c r="Y585" s="2"/>
      <c r="Z585" s="2"/>
      <c r="AA585" s="2"/>
    </row>
    <row r="586" spans="21:27" ht="20.100000000000001" customHeight="1" x14ac:dyDescent="0.2">
      <c r="U586" s="2"/>
      <c r="V586" s="2"/>
      <c r="W586" s="2"/>
      <c r="X586" s="2"/>
      <c r="Y586" s="2"/>
      <c r="Z586" s="2"/>
      <c r="AA586" s="2"/>
    </row>
    <row r="587" spans="21:27" ht="20.100000000000001" customHeight="1" x14ac:dyDescent="0.2">
      <c r="U587" s="2"/>
      <c r="V587" s="2"/>
      <c r="W587" s="2"/>
      <c r="X587" s="2"/>
      <c r="Y587" s="2"/>
      <c r="Z587" s="2"/>
      <c r="AA587" s="2"/>
    </row>
    <row r="588" spans="21:27" ht="20.100000000000001" customHeight="1" x14ac:dyDescent="0.2">
      <c r="U588" s="2"/>
      <c r="V588" s="2"/>
      <c r="W588" s="2"/>
      <c r="X588" s="2"/>
      <c r="Y588" s="2"/>
      <c r="Z588" s="2"/>
      <c r="AA588" s="2"/>
    </row>
    <row r="589" spans="21:27" ht="20.100000000000001" customHeight="1" x14ac:dyDescent="0.2">
      <c r="U589" s="2"/>
      <c r="V589" s="2"/>
      <c r="W589" s="2"/>
      <c r="X589" s="2"/>
      <c r="Y589" s="2"/>
      <c r="Z589" s="2"/>
      <c r="AA589" s="2"/>
    </row>
    <row r="590" spans="21:27" ht="20.100000000000001" customHeight="1" x14ac:dyDescent="0.2">
      <c r="U590" s="2"/>
      <c r="V590" s="2"/>
      <c r="W590" s="2"/>
      <c r="X590" s="2"/>
      <c r="Y590" s="2"/>
      <c r="Z590" s="2"/>
      <c r="AA590" s="2"/>
    </row>
    <row r="591" spans="21:27" ht="20.100000000000001" customHeight="1" x14ac:dyDescent="0.2">
      <c r="U591" s="2"/>
      <c r="V591" s="2"/>
      <c r="W591" s="2"/>
      <c r="X591" s="2"/>
      <c r="Y591" s="2"/>
      <c r="Z591" s="2"/>
      <c r="AA591" s="2"/>
    </row>
    <row r="592" spans="21:27" ht="20.100000000000001" customHeight="1" x14ac:dyDescent="0.2">
      <c r="U592" s="2"/>
      <c r="V592" s="2"/>
      <c r="W592" s="2"/>
      <c r="X592" s="2"/>
      <c r="Y592" s="2"/>
      <c r="Z592" s="2"/>
      <c r="AA592" s="2"/>
    </row>
    <row r="593" spans="21:27" ht="20.100000000000001" customHeight="1" x14ac:dyDescent="0.2">
      <c r="U593" s="2"/>
      <c r="V593" s="2"/>
      <c r="W593" s="2"/>
      <c r="X593" s="2"/>
      <c r="Y593" s="2"/>
      <c r="Z593" s="2"/>
      <c r="AA593" s="2"/>
    </row>
    <row r="594" spans="21:27" ht="20.100000000000001" customHeight="1" x14ac:dyDescent="0.2">
      <c r="U594" s="2"/>
      <c r="V594" s="2"/>
      <c r="W594" s="2"/>
      <c r="X594" s="2"/>
      <c r="Y594" s="2"/>
      <c r="Z594" s="2"/>
      <c r="AA594" s="2"/>
    </row>
    <row r="595" spans="21:27" ht="20.100000000000001" customHeight="1" x14ac:dyDescent="0.2">
      <c r="U595" s="2"/>
      <c r="V595" s="2"/>
      <c r="W595" s="2"/>
      <c r="X595" s="2"/>
      <c r="Y595" s="2"/>
      <c r="Z595" s="2"/>
      <c r="AA595" s="2"/>
    </row>
    <row r="596" spans="21:27" ht="20.100000000000001" customHeight="1" x14ac:dyDescent="0.2">
      <c r="U596" s="2"/>
      <c r="V596" s="2"/>
      <c r="W596" s="2"/>
      <c r="X596" s="2"/>
      <c r="Y596" s="2"/>
      <c r="Z596" s="2"/>
      <c r="AA596" s="2"/>
    </row>
    <row r="597" spans="21:27" ht="20.100000000000001" customHeight="1" x14ac:dyDescent="0.2">
      <c r="U597" s="2"/>
      <c r="V597" s="2"/>
      <c r="W597" s="2"/>
      <c r="X597" s="2"/>
      <c r="Y597" s="2"/>
      <c r="Z597" s="2"/>
      <c r="AA597" s="2"/>
    </row>
    <row r="598" spans="21:27" ht="20.100000000000001" customHeight="1" x14ac:dyDescent="0.2">
      <c r="U598" s="2"/>
      <c r="V598" s="2"/>
      <c r="W598" s="2"/>
      <c r="X598" s="2"/>
      <c r="Y598" s="2"/>
      <c r="Z598" s="2"/>
      <c r="AA598" s="2"/>
    </row>
    <row r="599" spans="21:27" ht="20.100000000000001" customHeight="1" x14ac:dyDescent="0.2">
      <c r="U599" s="2"/>
      <c r="V599" s="2"/>
      <c r="W599" s="2"/>
      <c r="X599" s="2"/>
      <c r="Y599" s="2"/>
      <c r="Z599" s="2"/>
      <c r="AA599" s="2"/>
    </row>
    <row r="600" spans="21:27" ht="20.100000000000001" customHeight="1" x14ac:dyDescent="0.2">
      <c r="U600" s="2"/>
      <c r="V600" s="2"/>
      <c r="W600" s="2"/>
      <c r="X600" s="2"/>
      <c r="Y600" s="2"/>
      <c r="Z600" s="2"/>
      <c r="AA600" s="2"/>
    </row>
    <row r="601" spans="21:27" ht="20.100000000000001" customHeight="1" x14ac:dyDescent="0.2">
      <c r="U601" s="2"/>
      <c r="V601" s="2"/>
      <c r="W601" s="2"/>
      <c r="X601" s="2"/>
      <c r="Y601" s="2"/>
      <c r="Z601" s="2"/>
      <c r="AA601" s="2"/>
    </row>
    <row r="602" spans="21:27" ht="20.100000000000001" customHeight="1" x14ac:dyDescent="0.2">
      <c r="U602" s="2"/>
      <c r="V602" s="2"/>
      <c r="W602" s="2"/>
      <c r="X602" s="2"/>
      <c r="Y602" s="2"/>
      <c r="Z602" s="2"/>
      <c r="AA602" s="2"/>
    </row>
    <row r="603" spans="21:27" ht="20.100000000000001" customHeight="1" x14ac:dyDescent="0.2">
      <c r="U603" s="2"/>
      <c r="V603" s="2"/>
      <c r="W603" s="2"/>
      <c r="X603" s="2"/>
      <c r="Y603" s="2"/>
      <c r="Z603" s="2"/>
      <c r="AA603" s="2"/>
    </row>
    <row r="604" spans="21:27" ht="20.100000000000001" customHeight="1" x14ac:dyDescent="0.2">
      <c r="U604" s="2"/>
      <c r="V604" s="2"/>
      <c r="W604" s="2"/>
      <c r="X604" s="2"/>
      <c r="Y604" s="2"/>
      <c r="Z604" s="2"/>
      <c r="AA604" s="2"/>
    </row>
    <row r="605" spans="21:27" ht="20.100000000000001" customHeight="1" x14ac:dyDescent="0.2">
      <c r="U605" s="2"/>
      <c r="V605" s="2"/>
      <c r="W605" s="2"/>
      <c r="X605" s="2"/>
      <c r="Y605" s="2"/>
      <c r="Z605" s="2"/>
      <c r="AA605" s="2"/>
    </row>
    <row r="606" spans="21:27" ht="20.100000000000001" customHeight="1" x14ac:dyDescent="0.2">
      <c r="U606" s="2"/>
      <c r="V606" s="2"/>
      <c r="W606" s="2"/>
      <c r="X606" s="2"/>
      <c r="Y606" s="2"/>
      <c r="Z606" s="2"/>
      <c r="AA606" s="2"/>
    </row>
    <row r="607" spans="21:27" ht="20.100000000000001" customHeight="1" x14ac:dyDescent="0.2">
      <c r="U607" s="2"/>
      <c r="V607" s="2"/>
      <c r="W607" s="2"/>
      <c r="X607" s="2"/>
      <c r="Y607" s="2"/>
      <c r="Z607" s="2"/>
      <c r="AA607" s="2"/>
    </row>
    <row r="608" spans="21:27" ht="20.100000000000001" customHeight="1" x14ac:dyDescent="0.2">
      <c r="U608" s="2"/>
      <c r="V608" s="2"/>
      <c r="W608" s="2"/>
      <c r="X608" s="2"/>
      <c r="Y608" s="2"/>
      <c r="Z608" s="2"/>
      <c r="AA608" s="2"/>
    </row>
    <row r="609" spans="21:27" ht="20.100000000000001" customHeight="1" x14ac:dyDescent="0.2">
      <c r="U609" s="2"/>
      <c r="V609" s="2"/>
      <c r="W609" s="2"/>
      <c r="X609" s="2"/>
      <c r="Y609" s="2"/>
      <c r="Z609" s="2"/>
      <c r="AA609" s="2"/>
    </row>
    <row r="610" spans="21:27" ht="20.100000000000001" customHeight="1" x14ac:dyDescent="0.2">
      <c r="U610" s="2"/>
      <c r="V610" s="2"/>
      <c r="W610" s="2"/>
      <c r="X610" s="2"/>
      <c r="Y610" s="2"/>
      <c r="Z610" s="2"/>
      <c r="AA610" s="2"/>
    </row>
    <row r="611" spans="21:27" ht="20.100000000000001" customHeight="1" x14ac:dyDescent="0.2">
      <c r="U611" s="2"/>
      <c r="V611" s="2"/>
      <c r="W611" s="2"/>
      <c r="X611" s="2"/>
      <c r="Y611" s="2"/>
      <c r="Z611" s="2"/>
      <c r="AA611" s="2"/>
    </row>
    <row r="612" spans="21:27" ht="20.100000000000001" customHeight="1" x14ac:dyDescent="0.2">
      <c r="U612" s="2"/>
      <c r="V612" s="2"/>
      <c r="W612" s="2"/>
      <c r="X612" s="2"/>
      <c r="Y612" s="2"/>
      <c r="Z612" s="2"/>
      <c r="AA612" s="2"/>
    </row>
    <row r="613" spans="21:27" ht="20.100000000000001" customHeight="1" x14ac:dyDescent="0.2">
      <c r="U613" s="2"/>
      <c r="V613" s="2"/>
      <c r="W613" s="2"/>
      <c r="X613" s="2"/>
      <c r="Y613" s="2"/>
      <c r="Z613" s="2"/>
      <c r="AA613" s="2"/>
    </row>
    <row r="614" spans="21:27" ht="20.100000000000001" customHeight="1" x14ac:dyDescent="0.2">
      <c r="U614" s="2"/>
      <c r="V614" s="2"/>
      <c r="W614" s="2"/>
      <c r="X614" s="2"/>
      <c r="Y614" s="2"/>
      <c r="Z614" s="2"/>
      <c r="AA614" s="2"/>
    </row>
    <row r="615" spans="21:27" ht="20.100000000000001" customHeight="1" x14ac:dyDescent="0.2">
      <c r="U615" s="2"/>
      <c r="V615" s="2"/>
      <c r="W615" s="2"/>
      <c r="X615" s="2"/>
      <c r="Y615" s="2"/>
      <c r="Z615" s="2"/>
      <c r="AA615" s="2"/>
    </row>
    <row r="616" spans="21:27" ht="20.100000000000001" customHeight="1" x14ac:dyDescent="0.2">
      <c r="U616" s="2"/>
      <c r="V616" s="2"/>
      <c r="W616" s="2"/>
      <c r="X616" s="2"/>
      <c r="Y616" s="2"/>
      <c r="Z616" s="2"/>
      <c r="AA616" s="2"/>
    </row>
    <row r="617" spans="21:27" ht="20.100000000000001" customHeight="1" x14ac:dyDescent="0.2">
      <c r="U617" s="2"/>
      <c r="V617" s="2"/>
      <c r="W617" s="2"/>
      <c r="X617" s="2"/>
      <c r="Y617" s="2"/>
      <c r="Z617" s="2"/>
      <c r="AA617" s="2"/>
    </row>
    <row r="618" spans="21:27" ht="20.100000000000001" customHeight="1" x14ac:dyDescent="0.2">
      <c r="U618" s="2"/>
      <c r="V618" s="2"/>
      <c r="W618" s="2"/>
      <c r="X618" s="2"/>
      <c r="Y618" s="2"/>
      <c r="Z618" s="2"/>
      <c r="AA618" s="2"/>
    </row>
    <row r="619" spans="21:27" ht="20.100000000000001" customHeight="1" x14ac:dyDescent="0.2">
      <c r="U619" s="2"/>
      <c r="V619" s="2"/>
      <c r="W619" s="2"/>
      <c r="X619" s="2"/>
      <c r="Y619" s="2"/>
      <c r="Z619" s="2"/>
      <c r="AA619" s="2"/>
    </row>
    <row r="620" spans="21:27" ht="20.100000000000001" customHeight="1" x14ac:dyDescent="0.2">
      <c r="U620" s="2"/>
      <c r="V620" s="2"/>
      <c r="W620" s="2"/>
      <c r="X620" s="2"/>
      <c r="Y620" s="2"/>
      <c r="Z620" s="2"/>
      <c r="AA620" s="2"/>
    </row>
    <row r="621" spans="21:27" ht="20.100000000000001" customHeight="1" x14ac:dyDescent="0.2">
      <c r="U621" s="2"/>
      <c r="V621" s="2"/>
      <c r="W621" s="2"/>
      <c r="X621" s="2"/>
      <c r="Y621" s="2"/>
      <c r="Z621" s="2"/>
      <c r="AA621" s="2"/>
    </row>
    <row r="622" spans="21:27" ht="20.100000000000001" customHeight="1" x14ac:dyDescent="0.2">
      <c r="U622" s="2"/>
      <c r="V622" s="2"/>
      <c r="W622" s="2"/>
      <c r="X622" s="2"/>
      <c r="Y622" s="2"/>
      <c r="Z622" s="2"/>
      <c r="AA622" s="2"/>
    </row>
    <row r="623" spans="21:27" ht="20.100000000000001" customHeight="1" x14ac:dyDescent="0.2">
      <c r="U623" s="2"/>
      <c r="V623" s="2"/>
      <c r="W623" s="2"/>
      <c r="X623" s="2"/>
      <c r="Y623" s="2"/>
      <c r="Z623" s="2"/>
      <c r="AA623" s="2"/>
    </row>
    <row r="624" spans="21:27" ht="20.100000000000001" customHeight="1" x14ac:dyDescent="0.2">
      <c r="U624" s="2"/>
      <c r="V624" s="2"/>
      <c r="W624" s="2"/>
      <c r="X624" s="2"/>
      <c r="Y624" s="2"/>
      <c r="Z624" s="2"/>
      <c r="AA624" s="2"/>
    </row>
    <row r="625" spans="21:27" ht="20.100000000000001" customHeight="1" x14ac:dyDescent="0.2">
      <c r="U625" s="2"/>
      <c r="V625" s="2"/>
      <c r="W625" s="2"/>
      <c r="X625" s="2"/>
      <c r="Y625" s="2"/>
      <c r="Z625" s="2"/>
      <c r="AA625" s="2"/>
    </row>
    <row r="626" spans="21:27" ht="20.100000000000001" customHeight="1" x14ac:dyDescent="0.2">
      <c r="U626" s="2"/>
      <c r="V626" s="2"/>
      <c r="W626" s="2"/>
      <c r="X626" s="2"/>
      <c r="Y626" s="2"/>
      <c r="Z626" s="2"/>
      <c r="AA626" s="2"/>
    </row>
    <row r="627" spans="21:27" ht="20.100000000000001" customHeight="1" x14ac:dyDescent="0.2">
      <c r="U627" s="2"/>
      <c r="V627" s="2"/>
      <c r="W627" s="2"/>
      <c r="X627" s="2"/>
      <c r="Y627" s="2"/>
      <c r="Z627" s="2"/>
      <c r="AA627" s="2"/>
    </row>
    <row r="628" spans="21:27" ht="20.100000000000001" customHeight="1" x14ac:dyDescent="0.2">
      <c r="U628" s="2"/>
      <c r="V628" s="2"/>
      <c r="W628" s="2"/>
      <c r="X628" s="2"/>
      <c r="Y628" s="2"/>
      <c r="Z628" s="2"/>
      <c r="AA628" s="2"/>
    </row>
    <row r="629" spans="21:27" ht="20.100000000000001" customHeight="1" x14ac:dyDescent="0.2">
      <c r="U629" s="2"/>
      <c r="V629" s="2"/>
      <c r="W629" s="2"/>
      <c r="X629" s="2"/>
      <c r="Y629" s="2"/>
      <c r="Z629" s="2"/>
      <c r="AA629" s="2"/>
    </row>
    <row r="630" spans="21:27" ht="20.100000000000001" customHeight="1" x14ac:dyDescent="0.2">
      <c r="U630" s="2"/>
      <c r="V630" s="2"/>
      <c r="W630" s="2"/>
      <c r="X630" s="2"/>
      <c r="Y630" s="2"/>
      <c r="Z630" s="2"/>
      <c r="AA630" s="2"/>
    </row>
    <row r="631" spans="21:27" ht="20.100000000000001" customHeight="1" x14ac:dyDescent="0.2">
      <c r="U631" s="2"/>
      <c r="V631" s="2"/>
      <c r="W631" s="2"/>
      <c r="X631" s="2"/>
      <c r="Y631" s="2"/>
      <c r="Z631" s="2"/>
      <c r="AA631" s="2"/>
    </row>
    <row r="632" spans="21:27" ht="20.100000000000001" customHeight="1" x14ac:dyDescent="0.2">
      <c r="U632" s="2"/>
      <c r="V632" s="2"/>
      <c r="W632" s="2"/>
      <c r="X632" s="2"/>
      <c r="Y632" s="2"/>
      <c r="Z632" s="2"/>
      <c r="AA632" s="2"/>
    </row>
    <row r="633" spans="21:27" ht="20.100000000000001" customHeight="1" x14ac:dyDescent="0.2">
      <c r="U633" s="2"/>
      <c r="V633" s="2"/>
      <c r="W633" s="2"/>
      <c r="X633" s="2"/>
      <c r="Y633" s="2"/>
      <c r="Z633" s="2"/>
      <c r="AA633" s="2"/>
    </row>
    <row r="634" spans="21:27" ht="20.100000000000001" customHeight="1" x14ac:dyDescent="0.2">
      <c r="U634" s="2"/>
      <c r="V634" s="2"/>
      <c r="W634" s="2"/>
      <c r="X634" s="2"/>
      <c r="Y634" s="2"/>
      <c r="Z634" s="2"/>
      <c r="AA634" s="2"/>
    </row>
    <row r="635" spans="21:27" ht="20.100000000000001" customHeight="1" x14ac:dyDescent="0.2">
      <c r="U635" s="2"/>
      <c r="V635" s="2"/>
      <c r="W635" s="2"/>
      <c r="X635" s="2"/>
      <c r="Y635" s="2"/>
      <c r="Z635" s="2"/>
      <c r="AA635" s="2"/>
    </row>
    <row r="636" spans="21:27" ht="20.100000000000001" customHeight="1" x14ac:dyDescent="0.2">
      <c r="U636" s="2"/>
      <c r="V636" s="2"/>
      <c r="W636" s="2"/>
      <c r="X636" s="2"/>
      <c r="Y636" s="2"/>
      <c r="Z636" s="2"/>
      <c r="AA636" s="2"/>
    </row>
    <row r="637" spans="21:27" ht="20.100000000000001" customHeight="1" x14ac:dyDescent="0.2">
      <c r="U637" s="2"/>
      <c r="V637" s="2"/>
      <c r="W637" s="2"/>
      <c r="X637" s="2"/>
      <c r="Y637" s="2"/>
      <c r="Z637" s="2"/>
      <c r="AA637" s="2"/>
    </row>
    <row r="638" spans="21:27" ht="20.100000000000001" customHeight="1" x14ac:dyDescent="0.2">
      <c r="U638" s="2"/>
      <c r="V638" s="2"/>
      <c r="W638" s="2"/>
      <c r="X638" s="2"/>
      <c r="Y638" s="2"/>
      <c r="Z638" s="2"/>
      <c r="AA638" s="2"/>
    </row>
    <row r="639" spans="21:27" ht="20.100000000000001" customHeight="1" x14ac:dyDescent="0.2">
      <c r="U639" s="2"/>
      <c r="V639" s="2"/>
      <c r="W639" s="2"/>
      <c r="X639" s="2"/>
      <c r="Y639" s="2"/>
      <c r="Z639" s="2"/>
      <c r="AA639" s="2"/>
    </row>
    <row r="640" spans="21:27" ht="20.100000000000001" customHeight="1" x14ac:dyDescent="0.2">
      <c r="U640" s="2"/>
      <c r="V640" s="2"/>
      <c r="W640" s="2"/>
      <c r="X640" s="2"/>
      <c r="Y640" s="2"/>
      <c r="Z640" s="2"/>
      <c r="AA640" s="2"/>
    </row>
    <row r="641" spans="21:27" ht="20.100000000000001" customHeight="1" x14ac:dyDescent="0.2">
      <c r="U641" s="2"/>
      <c r="V641" s="2"/>
      <c r="W641" s="2"/>
      <c r="X641" s="2"/>
      <c r="Y641" s="2"/>
      <c r="Z641" s="2"/>
      <c r="AA641" s="2"/>
    </row>
    <row r="642" spans="21:27" ht="20.100000000000001" customHeight="1" x14ac:dyDescent="0.2">
      <c r="U642" s="2"/>
      <c r="V642" s="2"/>
      <c r="W642" s="2"/>
      <c r="X642" s="2"/>
      <c r="Y642" s="2"/>
      <c r="Z642" s="2"/>
      <c r="AA642" s="2"/>
    </row>
    <row r="643" spans="21:27" ht="20.100000000000001" customHeight="1" x14ac:dyDescent="0.2">
      <c r="U643" s="2"/>
      <c r="V643" s="2"/>
      <c r="W643" s="2"/>
      <c r="X643" s="2"/>
      <c r="Y643" s="2"/>
      <c r="Z643" s="2"/>
      <c r="AA643" s="2"/>
    </row>
    <row r="644" spans="21:27" ht="20.100000000000001" customHeight="1" x14ac:dyDescent="0.2">
      <c r="U644" s="2"/>
      <c r="V644" s="2"/>
      <c r="W644" s="2"/>
      <c r="X644" s="2"/>
      <c r="Y644" s="2"/>
      <c r="Z644" s="2"/>
      <c r="AA644" s="2"/>
    </row>
    <row r="645" spans="21:27" ht="20.100000000000001" customHeight="1" x14ac:dyDescent="0.2">
      <c r="U645" s="2"/>
      <c r="V645" s="2"/>
      <c r="W645" s="2"/>
      <c r="X645" s="2"/>
      <c r="Y645" s="2"/>
      <c r="Z645" s="2"/>
      <c r="AA645" s="2"/>
    </row>
    <row r="646" spans="21:27" ht="20.100000000000001" customHeight="1" x14ac:dyDescent="0.2">
      <c r="U646" s="2"/>
      <c r="V646" s="2"/>
      <c r="W646" s="2"/>
      <c r="X646" s="2"/>
      <c r="Y646" s="2"/>
      <c r="Z646" s="2"/>
      <c r="AA646" s="2"/>
    </row>
    <row r="647" spans="21:27" ht="20.100000000000001" customHeight="1" x14ac:dyDescent="0.2">
      <c r="U647" s="2"/>
      <c r="V647" s="2"/>
      <c r="W647" s="2"/>
      <c r="X647" s="2"/>
      <c r="Y647" s="2"/>
      <c r="Z647" s="2"/>
      <c r="AA647" s="2"/>
    </row>
    <row r="648" spans="21:27" ht="20.100000000000001" customHeight="1" x14ac:dyDescent="0.2">
      <c r="U648" s="2"/>
      <c r="V648" s="2"/>
      <c r="W648" s="2"/>
      <c r="X648" s="2"/>
      <c r="Y648" s="2"/>
      <c r="Z648" s="2"/>
      <c r="AA648" s="2"/>
    </row>
    <row r="649" spans="21:27" ht="20.100000000000001" customHeight="1" x14ac:dyDescent="0.2">
      <c r="U649" s="2"/>
      <c r="V649" s="2"/>
      <c r="W649" s="2"/>
      <c r="X649" s="2"/>
      <c r="Y649" s="2"/>
      <c r="Z649" s="2"/>
      <c r="AA649" s="2"/>
    </row>
    <row r="650" spans="21:27" ht="20.100000000000001" customHeight="1" x14ac:dyDescent="0.2">
      <c r="U650" s="2"/>
      <c r="V650" s="2"/>
      <c r="W650" s="2"/>
      <c r="X650" s="2"/>
      <c r="Y650" s="2"/>
      <c r="Z650" s="2"/>
      <c r="AA650" s="2"/>
    </row>
    <row r="651" spans="21:27" ht="20.100000000000001" customHeight="1" x14ac:dyDescent="0.2">
      <c r="U651" s="2"/>
      <c r="V651" s="2"/>
      <c r="W651" s="2"/>
      <c r="X651" s="2"/>
      <c r="Y651" s="2"/>
      <c r="Z651" s="2"/>
      <c r="AA651" s="2"/>
    </row>
    <row r="652" spans="21:27" ht="20.100000000000001" customHeight="1" x14ac:dyDescent="0.2">
      <c r="U652" s="2"/>
      <c r="V652" s="2"/>
      <c r="W652" s="2"/>
      <c r="X652" s="2"/>
      <c r="Y652" s="2"/>
      <c r="Z652" s="2"/>
      <c r="AA652" s="2"/>
    </row>
    <row r="653" spans="21:27" ht="20.100000000000001" customHeight="1" x14ac:dyDescent="0.2">
      <c r="U653" s="2"/>
      <c r="V653" s="2"/>
      <c r="W653" s="2"/>
      <c r="X653" s="2"/>
      <c r="Y653" s="2"/>
      <c r="Z653" s="2"/>
      <c r="AA653" s="2"/>
    </row>
    <row r="654" spans="21:27" ht="20.100000000000001" customHeight="1" x14ac:dyDescent="0.2">
      <c r="U654" s="2"/>
      <c r="V654" s="2"/>
      <c r="W654" s="2"/>
      <c r="X654" s="2"/>
      <c r="Y654" s="2"/>
      <c r="Z654" s="2"/>
      <c r="AA654" s="2"/>
    </row>
    <row r="655" spans="21:27" ht="20.100000000000001" customHeight="1" x14ac:dyDescent="0.2">
      <c r="U655" s="2"/>
      <c r="V655" s="2"/>
      <c r="W655" s="2"/>
      <c r="X655" s="2"/>
      <c r="Y655" s="2"/>
      <c r="Z655" s="2"/>
      <c r="AA655" s="2"/>
    </row>
    <row r="656" spans="21:27" ht="20.100000000000001" customHeight="1" x14ac:dyDescent="0.2">
      <c r="U656" s="2"/>
      <c r="V656" s="2"/>
      <c r="W656" s="2"/>
      <c r="X656" s="2"/>
      <c r="Y656" s="2"/>
      <c r="Z656" s="2"/>
      <c r="AA656" s="2"/>
    </row>
    <row r="657" spans="21:27" ht="20.100000000000001" customHeight="1" x14ac:dyDescent="0.2">
      <c r="U657" s="2"/>
      <c r="V657" s="2"/>
      <c r="W657" s="2"/>
      <c r="X657" s="2"/>
      <c r="Y657" s="2"/>
      <c r="Z657" s="2"/>
      <c r="AA657" s="2"/>
    </row>
    <row r="658" spans="21:27" ht="20.100000000000001" customHeight="1" x14ac:dyDescent="0.2">
      <c r="U658" s="2"/>
      <c r="V658" s="2"/>
      <c r="W658" s="2"/>
      <c r="X658" s="2"/>
      <c r="Y658" s="2"/>
      <c r="Z658" s="2"/>
      <c r="AA658" s="2"/>
    </row>
    <row r="659" spans="21:27" ht="20.100000000000001" customHeight="1" x14ac:dyDescent="0.2">
      <c r="U659" s="2"/>
      <c r="V659" s="2"/>
      <c r="W659" s="2"/>
      <c r="X659" s="2"/>
      <c r="Y659" s="2"/>
      <c r="Z659" s="2"/>
      <c r="AA659" s="2"/>
    </row>
    <row r="660" spans="21:27" ht="20.100000000000001" customHeight="1" x14ac:dyDescent="0.2">
      <c r="U660" s="2"/>
      <c r="V660" s="2"/>
      <c r="W660" s="2"/>
      <c r="X660" s="2"/>
      <c r="Y660" s="2"/>
      <c r="Z660" s="2"/>
      <c r="AA660" s="2"/>
    </row>
    <row r="661" spans="21:27" ht="20.100000000000001" customHeight="1" x14ac:dyDescent="0.2">
      <c r="U661" s="2"/>
      <c r="V661" s="2"/>
      <c r="W661" s="2"/>
      <c r="X661" s="2"/>
      <c r="Y661" s="2"/>
      <c r="Z661" s="2"/>
      <c r="AA661" s="2"/>
    </row>
    <row r="662" spans="21:27" ht="20.100000000000001" customHeight="1" x14ac:dyDescent="0.2">
      <c r="U662" s="2"/>
      <c r="V662" s="2"/>
      <c r="W662" s="2"/>
      <c r="X662" s="2"/>
      <c r="Y662" s="2"/>
      <c r="Z662" s="2"/>
      <c r="AA662" s="2"/>
    </row>
    <row r="663" spans="21:27" ht="20.100000000000001" customHeight="1" x14ac:dyDescent="0.2">
      <c r="U663" s="2"/>
      <c r="V663" s="2"/>
      <c r="W663" s="2"/>
      <c r="X663" s="2"/>
      <c r="Y663" s="2"/>
      <c r="Z663" s="2"/>
      <c r="AA663" s="2"/>
    </row>
    <row r="664" spans="21:27" ht="20.100000000000001" customHeight="1" x14ac:dyDescent="0.2">
      <c r="U664" s="2"/>
      <c r="V664" s="2"/>
      <c r="W664" s="2"/>
      <c r="X664" s="2"/>
      <c r="Y664" s="2"/>
      <c r="Z664" s="2"/>
      <c r="AA664" s="2"/>
    </row>
    <row r="665" spans="21:27" ht="20.100000000000001" customHeight="1" x14ac:dyDescent="0.2">
      <c r="U665" s="2"/>
      <c r="V665" s="2"/>
      <c r="W665" s="2"/>
      <c r="X665" s="2"/>
      <c r="Y665" s="2"/>
      <c r="Z665" s="2"/>
      <c r="AA665" s="2"/>
    </row>
    <row r="666" spans="21:27" ht="20.100000000000001" customHeight="1" x14ac:dyDescent="0.2">
      <c r="U666" s="2"/>
      <c r="V666" s="2"/>
      <c r="W666" s="2"/>
      <c r="X666" s="2"/>
      <c r="Y666" s="2"/>
      <c r="Z666" s="2"/>
      <c r="AA666" s="2"/>
    </row>
    <row r="667" spans="21:27" ht="20.100000000000001" customHeight="1" x14ac:dyDescent="0.2">
      <c r="U667" s="2"/>
      <c r="V667" s="2"/>
      <c r="W667" s="2"/>
      <c r="X667" s="2"/>
      <c r="Y667" s="2"/>
      <c r="Z667" s="2"/>
      <c r="AA667" s="2"/>
    </row>
    <row r="668" spans="21:27" ht="20.100000000000001" customHeight="1" x14ac:dyDescent="0.2">
      <c r="U668" s="2"/>
      <c r="V668" s="2"/>
      <c r="W668" s="2"/>
      <c r="X668" s="2"/>
      <c r="Y668" s="2"/>
      <c r="Z668" s="2"/>
      <c r="AA668" s="2"/>
    </row>
    <row r="669" spans="21:27" ht="20.100000000000001" customHeight="1" x14ac:dyDescent="0.2">
      <c r="U669" s="2"/>
      <c r="V669" s="2"/>
      <c r="W669" s="2"/>
      <c r="X669" s="2"/>
      <c r="Y669" s="2"/>
      <c r="Z669" s="2"/>
      <c r="AA669" s="2"/>
    </row>
    <row r="670" spans="21:27" ht="20.100000000000001" customHeight="1" x14ac:dyDescent="0.2">
      <c r="U670" s="2"/>
      <c r="V670" s="2"/>
      <c r="W670" s="2"/>
      <c r="X670" s="2"/>
      <c r="Y670" s="2"/>
      <c r="Z670" s="2"/>
      <c r="AA670" s="2"/>
    </row>
    <row r="671" spans="21:27" ht="20.100000000000001" customHeight="1" x14ac:dyDescent="0.2">
      <c r="U671" s="2"/>
      <c r="V671" s="2"/>
      <c r="W671" s="2"/>
      <c r="X671" s="2"/>
      <c r="Y671" s="2"/>
      <c r="Z671" s="2"/>
      <c r="AA671" s="2"/>
    </row>
    <row r="672" spans="21:27" ht="20.100000000000001" customHeight="1" x14ac:dyDescent="0.2">
      <c r="U672" s="2"/>
      <c r="V672" s="2"/>
      <c r="W672" s="2"/>
      <c r="X672" s="2"/>
      <c r="Y672" s="2"/>
      <c r="Z672" s="2"/>
      <c r="AA672" s="2"/>
    </row>
    <row r="673" spans="21:27" ht="20.100000000000001" customHeight="1" x14ac:dyDescent="0.2">
      <c r="U673" s="2"/>
      <c r="V673" s="2"/>
      <c r="W673" s="2"/>
      <c r="X673" s="2"/>
      <c r="Y673" s="2"/>
      <c r="Z673" s="2"/>
      <c r="AA673" s="2"/>
    </row>
    <row r="674" spans="21:27" ht="20.100000000000001" customHeight="1" x14ac:dyDescent="0.2">
      <c r="U674" s="2"/>
      <c r="V674" s="2"/>
      <c r="W674" s="2"/>
      <c r="X674" s="2"/>
      <c r="Y674" s="2"/>
      <c r="Z674" s="2"/>
      <c r="AA674" s="2"/>
    </row>
    <row r="675" spans="21:27" ht="20.100000000000001" customHeight="1" x14ac:dyDescent="0.2">
      <c r="U675" s="2"/>
      <c r="V675" s="2"/>
      <c r="W675" s="2"/>
      <c r="X675" s="2"/>
      <c r="Y675" s="2"/>
      <c r="Z675" s="2"/>
      <c r="AA675" s="2"/>
    </row>
    <row r="676" spans="21:27" ht="20.100000000000001" customHeight="1" x14ac:dyDescent="0.2">
      <c r="U676" s="2"/>
      <c r="V676" s="2"/>
      <c r="W676" s="2"/>
      <c r="X676" s="2"/>
      <c r="Y676" s="2"/>
      <c r="Z676" s="2"/>
      <c r="AA676" s="2"/>
    </row>
    <row r="677" spans="21:27" ht="20.100000000000001" customHeight="1" x14ac:dyDescent="0.2">
      <c r="U677" s="2"/>
      <c r="V677" s="2"/>
      <c r="W677" s="2"/>
      <c r="X677" s="2"/>
      <c r="Y677" s="2"/>
      <c r="Z677" s="2"/>
      <c r="AA677" s="2"/>
    </row>
    <row r="678" spans="21:27" ht="20.100000000000001" customHeight="1" x14ac:dyDescent="0.2">
      <c r="U678" s="2"/>
      <c r="V678" s="2"/>
      <c r="W678" s="2"/>
      <c r="X678" s="2"/>
      <c r="Y678" s="2"/>
      <c r="Z678" s="2"/>
      <c r="AA678" s="2"/>
    </row>
    <row r="679" spans="21:27" ht="20.100000000000001" customHeight="1" x14ac:dyDescent="0.2">
      <c r="U679" s="2"/>
      <c r="V679" s="2"/>
      <c r="W679" s="2"/>
      <c r="X679" s="2"/>
      <c r="Y679" s="2"/>
      <c r="Z679" s="2"/>
      <c r="AA679" s="2"/>
    </row>
    <row r="680" spans="21:27" ht="20.100000000000001" customHeight="1" x14ac:dyDescent="0.2">
      <c r="U680" s="2"/>
      <c r="V680" s="2"/>
      <c r="W680" s="2"/>
      <c r="X680" s="2"/>
      <c r="Y680" s="2"/>
      <c r="Z680" s="2"/>
      <c r="AA680" s="2"/>
    </row>
    <row r="681" spans="21:27" ht="20.100000000000001" customHeight="1" x14ac:dyDescent="0.2">
      <c r="U681" s="2"/>
      <c r="V681" s="2"/>
      <c r="W681" s="2"/>
      <c r="X681" s="2"/>
      <c r="Y681" s="2"/>
      <c r="Z681" s="2"/>
      <c r="AA681" s="2"/>
    </row>
    <row r="682" spans="21:27" ht="20.100000000000001" customHeight="1" x14ac:dyDescent="0.2">
      <c r="U682" s="2"/>
      <c r="V682" s="2"/>
      <c r="W682" s="2"/>
      <c r="X682" s="2"/>
      <c r="Y682" s="2"/>
      <c r="Z682" s="2"/>
      <c r="AA682" s="2"/>
    </row>
    <row r="683" spans="21:27" ht="20.100000000000001" customHeight="1" x14ac:dyDescent="0.2">
      <c r="U683" s="2"/>
      <c r="V683" s="2"/>
      <c r="W683" s="2"/>
      <c r="X683" s="2"/>
      <c r="Y683" s="2"/>
      <c r="Z683" s="2"/>
      <c r="AA683" s="2"/>
    </row>
    <row r="684" spans="21:27" ht="20.100000000000001" customHeight="1" x14ac:dyDescent="0.2">
      <c r="U684" s="2"/>
      <c r="V684" s="2"/>
      <c r="W684" s="2"/>
      <c r="X684" s="2"/>
      <c r="Y684" s="2"/>
      <c r="Z684" s="2"/>
      <c r="AA684" s="2"/>
    </row>
    <row r="685" spans="21:27" ht="20.100000000000001" customHeight="1" x14ac:dyDescent="0.2">
      <c r="U685" s="2"/>
      <c r="V685" s="2"/>
      <c r="W685" s="2"/>
      <c r="X685" s="2"/>
      <c r="Y685" s="2"/>
      <c r="Z685" s="2"/>
      <c r="AA685" s="2"/>
    </row>
    <row r="686" spans="21:27" ht="20.100000000000001" customHeight="1" x14ac:dyDescent="0.2">
      <c r="U686" s="2"/>
      <c r="V686" s="2"/>
      <c r="W686" s="2"/>
      <c r="X686" s="2"/>
      <c r="Y686" s="2"/>
      <c r="Z686" s="2"/>
      <c r="AA686" s="2"/>
    </row>
    <row r="687" spans="21:27" ht="20.100000000000001" customHeight="1" x14ac:dyDescent="0.2">
      <c r="U687" s="2"/>
      <c r="V687" s="2"/>
      <c r="W687" s="2"/>
      <c r="X687" s="2"/>
      <c r="Y687" s="2"/>
      <c r="Z687" s="2"/>
      <c r="AA687" s="2"/>
    </row>
    <row r="688" spans="21:27" ht="20.100000000000001" customHeight="1" x14ac:dyDescent="0.2">
      <c r="U688" s="2"/>
      <c r="V688" s="2"/>
      <c r="W688" s="2"/>
      <c r="X688" s="2"/>
      <c r="Y688" s="2"/>
      <c r="Z688" s="2"/>
      <c r="AA688" s="2"/>
    </row>
    <row r="689" spans="21:27" ht="20.100000000000001" customHeight="1" x14ac:dyDescent="0.2">
      <c r="U689" s="2"/>
      <c r="V689" s="2"/>
      <c r="W689" s="2"/>
      <c r="X689" s="2"/>
      <c r="Y689" s="2"/>
      <c r="Z689" s="2"/>
      <c r="AA689" s="2"/>
    </row>
    <row r="690" spans="21:27" ht="20.100000000000001" customHeight="1" x14ac:dyDescent="0.2">
      <c r="U690" s="2"/>
      <c r="V690" s="2"/>
      <c r="W690" s="2"/>
      <c r="X690" s="2"/>
      <c r="Y690" s="2"/>
      <c r="Z690" s="2"/>
      <c r="AA690" s="2"/>
    </row>
    <row r="691" spans="21:27" ht="20.100000000000001" customHeight="1" x14ac:dyDescent="0.2">
      <c r="U691" s="2"/>
      <c r="V691" s="2"/>
      <c r="W691" s="2"/>
      <c r="X691" s="2"/>
      <c r="Y691" s="2"/>
      <c r="Z691" s="2"/>
      <c r="AA691" s="2"/>
    </row>
    <row r="692" spans="21:27" ht="20.100000000000001" customHeight="1" x14ac:dyDescent="0.2">
      <c r="U692" s="2"/>
      <c r="V692" s="2"/>
      <c r="W692" s="2"/>
      <c r="X692" s="2"/>
      <c r="Y692" s="2"/>
      <c r="Z692" s="2"/>
      <c r="AA692" s="2"/>
    </row>
    <row r="693" spans="21:27" ht="20.100000000000001" customHeight="1" x14ac:dyDescent="0.2">
      <c r="U693" s="2"/>
      <c r="V693" s="2"/>
      <c r="W693" s="2"/>
      <c r="X693" s="2"/>
      <c r="Y693" s="2"/>
      <c r="Z693" s="2"/>
      <c r="AA693" s="2"/>
    </row>
    <row r="694" spans="21:27" ht="20.100000000000001" customHeight="1" x14ac:dyDescent="0.2">
      <c r="U694" s="2"/>
      <c r="V694" s="2"/>
      <c r="W694" s="2"/>
      <c r="X694" s="2"/>
      <c r="Y694" s="2"/>
      <c r="Z694" s="2"/>
      <c r="AA694" s="2"/>
    </row>
    <row r="695" spans="21:27" ht="20.100000000000001" customHeight="1" x14ac:dyDescent="0.2">
      <c r="U695" s="2"/>
      <c r="V695" s="2"/>
      <c r="W695" s="2"/>
      <c r="X695" s="2"/>
      <c r="Y695" s="2"/>
      <c r="Z695" s="2"/>
      <c r="AA695" s="2"/>
    </row>
    <row r="696" spans="21:27" ht="20.100000000000001" customHeight="1" x14ac:dyDescent="0.2">
      <c r="U696" s="2"/>
      <c r="V696" s="2"/>
      <c r="W696" s="2"/>
      <c r="X696" s="2"/>
      <c r="Y696" s="2"/>
      <c r="Z696" s="2"/>
      <c r="AA696" s="2"/>
    </row>
    <row r="697" spans="21:27" ht="20.100000000000001" customHeight="1" x14ac:dyDescent="0.2">
      <c r="U697" s="2"/>
      <c r="V697" s="2"/>
      <c r="W697" s="2"/>
      <c r="X697" s="2"/>
      <c r="Y697" s="2"/>
      <c r="Z697" s="2"/>
      <c r="AA697" s="2"/>
    </row>
    <row r="698" spans="21:27" ht="20.100000000000001" customHeight="1" x14ac:dyDescent="0.2">
      <c r="U698" s="2"/>
      <c r="V698" s="2"/>
      <c r="W698" s="2"/>
      <c r="X698" s="2"/>
      <c r="Y698" s="2"/>
      <c r="Z698" s="2"/>
      <c r="AA698" s="2"/>
    </row>
    <row r="699" spans="21:27" ht="20.100000000000001" customHeight="1" x14ac:dyDescent="0.2">
      <c r="U699" s="2"/>
      <c r="V699" s="2"/>
      <c r="W699" s="2"/>
      <c r="X699" s="2"/>
      <c r="Y699" s="2"/>
      <c r="Z699" s="2"/>
      <c r="AA699" s="2"/>
    </row>
    <row r="700" spans="21:27" ht="20.100000000000001" customHeight="1" x14ac:dyDescent="0.2">
      <c r="U700" s="2"/>
      <c r="V700" s="2"/>
      <c r="W700" s="2"/>
      <c r="X700" s="2"/>
      <c r="Y700" s="2"/>
      <c r="Z700" s="2"/>
      <c r="AA700" s="2"/>
    </row>
    <row r="701" spans="21:27" ht="20.100000000000001" customHeight="1" x14ac:dyDescent="0.2">
      <c r="U701" s="2"/>
      <c r="V701" s="2"/>
      <c r="W701" s="2"/>
      <c r="X701" s="2"/>
      <c r="Y701" s="2"/>
      <c r="Z701" s="2"/>
      <c r="AA701" s="2"/>
    </row>
    <row r="702" spans="21:27" ht="20.100000000000001" customHeight="1" x14ac:dyDescent="0.2">
      <c r="U702" s="2"/>
      <c r="V702" s="2"/>
      <c r="W702" s="2"/>
      <c r="X702" s="2"/>
      <c r="Y702" s="2"/>
      <c r="Z702" s="2"/>
      <c r="AA702" s="2"/>
    </row>
    <row r="703" spans="21:27" ht="20.100000000000001" customHeight="1" x14ac:dyDescent="0.2">
      <c r="U703" s="2"/>
      <c r="V703" s="2"/>
      <c r="W703" s="2"/>
      <c r="X703" s="2"/>
      <c r="Y703" s="2"/>
      <c r="Z703" s="2"/>
      <c r="AA703" s="2"/>
    </row>
    <row r="704" spans="21:27" ht="20.100000000000001" customHeight="1" x14ac:dyDescent="0.2">
      <c r="U704" s="2"/>
      <c r="V704" s="2"/>
      <c r="W704" s="2"/>
      <c r="X704" s="2"/>
      <c r="Y704" s="2"/>
      <c r="Z704" s="2"/>
      <c r="AA704" s="2"/>
    </row>
    <row r="705" spans="21:27" ht="20.100000000000001" customHeight="1" x14ac:dyDescent="0.2">
      <c r="U705" s="2"/>
      <c r="V705" s="2"/>
      <c r="W705" s="2"/>
      <c r="X705" s="2"/>
      <c r="Y705" s="2"/>
      <c r="Z705" s="2"/>
      <c r="AA705" s="2"/>
    </row>
    <row r="706" spans="21:27" ht="20.100000000000001" customHeight="1" x14ac:dyDescent="0.2">
      <c r="U706" s="2"/>
      <c r="V706" s="2"/>
      <c r="W706" s="2"/>
      <c r="X706" s="2"/>
      <c r="Y706" s="2"/>
      <c r="Z706" s="2"/>
      <c r="AA706" s="2"/>
    </row>
    <row r="707" spans="21:27" ht="20.100000000000001" customHeight="1" x14ac:dyDescent="0.2">
      <c r="U707" s="2"/>
      <c r="V707" s="2"/>
      <c r="W707" s="2"/>
      <c r="X707" s="2"/>
      <c r="Y707" s="2"/>
      <c r="Z707" s="2"/>
      <c r="AA707" s="2"/>
    </row>
    <row r="708" spans="21:27" ht="20.100000000000001" customHeight="1" x14ac:dyDescent="0.2">
      <c r="U708" s="2"/>
      <c r="V708" s="2"/>
      <c r="W708" s="2"/>
      <c r="X708" s="2"/>
      <c r="Y708" s="2"/>
      <c r="Z708" s="2"/>
      <c r="AA708" s="2"/>
    </row>
    <row r="709" spans="21:27" ht="20.100000000000001" customHeight="1" x14ac:dyDescent="0.2">
      <c r="U709" s="2"/>
      <c r="V709" s="2"/>
      <c r="W709" s="2"/>
      <c r="X709" s="2"/>
      <c r="Y709" s="2"/>
      <c r="Z709" s="2"/>
      <c r="AA709" s="2"/>
    </row>
    <row r="710" spans="21:27" ht="20.100000000000001" customHeight="1" x14ac:dyDescent="0.2">
      <c r="U710" s="2"/>
      <c r="V710" s="2"/>
      <c r="W710" s="2"/>
      <c r="X710" s="2"/>
      <c r="Y710" s="2"/>
      <c r="Z710" s="2"/>
      <c r="AA710" s="2"/>
    </row>
    <row r="711" spans="21:27" ht="20.100000000000001" customHeight="1" x14ac:dyDescent="0.2">
      <c r="U711" s="2"/>
      <c r="V711" s="2"/>
      <c r="W711" s="2"/>
      <c r="X711" s="2"/>
      <c r="Y711" s="2"/>
      <c r="Z711" s="2"/>
      <c r="AA711" s="2"/>
    </row>
    <row r="712" spans="21:27" ht="20.100000000000001" customHeight="1" x14ac:dyDescent="0.2">
      <c r="U712" s="2"/>
      <c r="V712" s="2"/>
      <c r="W712" s="2"/>
      <c r="X712" s="2"/>
      <c r="Y712" s="2"/>
      <c r="Z712" s="2"/>
      <c r="AA712" s="2"/>
    </row>
    <row r="713" spans="21:27" ht="20.100000000000001" customHeight="1" x14ac:dyDescent="0.2">
      <c r="U713" s="2"/>
      <c r="V713" s="2"/>
      <c r="W713" s="2"/>
      <c r="X713" s="2"/>
      <c r="Y713" s="2"/>
      <c r="Z713" s="2"/>
      <c r="AA713" s="2"/>
    </row>
    <row r="714" spans="21:27" ht="20.100000000000001" customHeight="1" x14ac:dyDescent="0.2">
      <c r="U714" s="2"/>
      <c r="V714" s="2"/>
      <c r="W714" s="2"/>
      <c r="X714" s="2"/>
      <c r="Y714" s="2"/>
      <c r="Z714" s="2"/>
      <c r="AA714" s="2"/>
    </row>
    <row r="715" spans="21:27" ht="20.100000000000001" customHeight="1" x14ac:dyDescent="0.2">
      <c r="U715" s="2"/>
      <c r="V715" s="2"/>
      <c r="W715" s="2"/>
      <c r="X715" s="2"/>
      <c r="Y715" s="2"/>
      <c r="Z715" s="2"/>
      <c r="AA715" s="2"/>
    </row>
    <row r="716" spans="21:27" ht="20.100000000000001" customHeight="1" x14ac:dyDescent="0.2">
      <c r="U716" s="2"/>
      <c r="V716" s="2"/>
      <c r="W716" s="2"/>
      <c r="X716" s="2"/>
      <c r="Y716" s="2"/>
      <c r="Z716" s="2"/>
      <c r="AA716" s="2"/>
    </row>
    <row r="717" spans="21:27" ht="20.100000000000001" customHeight="1" x14ac:dyDescent="0.2">
      <c r="U717" s="2"/>
      <c r="V717" s="2"/>
      <c r="W717" s="2"/>
      <c r="X717" s="2"/>
      <c r="Y717" s="2"/>
      <c r="Z717" s="2"/>
      <c r="AA717" s="2"/>
    </row>
    <row r="718" spans="21:27" ht="20.100000000000001" customHeight="1" x14ac:dyDescent="0.2">
      <c r="U718" s="2"/>
      <c r="V718" s="2"/>
      <c r="W718" s="2"/>
      <c r="X718" s="2"/>
      <c r="Y718" s="2"/>
      <c r="Z718" s="2"/>
      <c r="AA718" s="2"/>
    </row>
    <row r="719" spans="21:27" ht="20.100000000000001" customHeight="1" x14ac:dyDescent="0.2">
      <c r="U719" s="2"/>
      <c r="V719" s="2"/>
      <c r="W719" s="2"/>
      <c r="X719" s="2"/>
      <c r="Y719" s="2"/>
      <c r="Z719" s="2"/>
      <c r="AA719" s="2"/>
    </row>
    <row r="720" spans="21:27" ht="20.100000000000001" customHeight="1" x14ac:dyDescent="0.2">
      <c r="U720" s="2"/>
      <c r="V720" s="2"/>
      <c r="W720" s="2"/>
      <c r="X720" s="2"/>
      <c r="Y720" s="2"/>
      <c r="Z720" s="2"/>
      <c r="AA720" s="2"/>
    </row>
    <row r="721" spans="21:27" ht="20.100000000000001" customHeight="1" x14ac:dyDescent="0.2">
      <c r="U721" s="2"/>
      <c r="V721" s="2"/>
      <c r="W721" s="2"/>
      <c r="X721" s="2"/>
      <c r="Y721" s="2"/>
      <c r="Z721" s="2"/>
      <c r="AA721" s="2"/>
    </row>
    <row r="722" spans="21:27" ht="20.100000000000001" customHeight="1" x14ac:dyDescent="0.2">
      <c r="U722" s="2"/>
      <c r="V722" s="2"/>
      <c r="W722" s="2"/>
      <c r="X722" s="2"/>
      <c r="Y722" s="2"/>
      <c r="Z722" s="2"/>
      <c r="AA722" s="2"/>
    </row>
    <row r="723" spans="21:27" ht="20.100000000000001" customHeight="1" x14ac:dyDescent="0.2">
      <c r="U723" s="2"/>
      <c r="V723" s="2"/>
      <c r="W723" s="2"/>
      <c r="X723" s="2"/>
      <c r="Y723" s="2"/>
      <c r="Z723" s="2"/>
      <c r="AA723" s="2"/>
    </row>
    <row r="724" spans="21:27" ht="20.100000000000001" customHeight="1" x14ac:dyDescent="0.2">
      <c r="U724" s="2"/>
      <c r="V724" s="2"/>
      <c r="W724" s="2"/>
      <c r="X724" s="2"/>
      <c r="Y724" s="2"/>
      <c r="Z724" s="2"/>
      <c r="AA724" s="2"/>
    </row>
    <row r="725" spans="21:27" ht="20.100000000000001" customHeight="1" x14ac:dyDescent="0.2">
      <c r="U725" s="2"/>
      <c r="V725" s="2"/>
      <c r="W725" s="2"/>
      <c r="X725" s="2"/>
      <c r="Y725" s="2"/>
      <c r="Z725" s="2"/>
      <c r="AA725" s="2"/>
    </row>
    <row r="726" spans="21:27" ht="20.100000000000001" customHeight="1" x14ac:dyDescent="0.2">
      <c r="U726" s="2"/>
      <c r="V726" s="2"/>
      <c r="W726" s="2"/>
      <c r="X726" s="2"/>
      <c r="Y726" s="2"/>
      <c r="Z726" s="2"/>
      <c r="AA726" s="2"/>
    </row>
    <row r="727" spans="21:27" ht="20.100000000000001" customHeight="1" x14ac:dyDescent="0.2">
      <c r="U727" s="2"/>
      <c r="V727" s="2"/>
      <c r="W727" s="2"/>
      <c r="X727" s="2"/>
      <c r="Y727" s="2"/>
      <c r="Z727" s="2"/>
      <c r="AA727" s="2"/>
    </row>
    <row r="728" spans="21:27" ht="20.100000000000001" customHeight="1" x14ac:dyDescent="0.2">
      <c r="U728" s="2"/>
      <c r="V728" s="2"/>
      <c r="W728" s="2"/>
      <c r="X728" s="2"/>
      <c r="Y728" s="2"/>
      <c r="Z728" s="2"/>
      <c r="AA728" s="2"/>
    </row>
    <row r="729" spans="21:27" ht="20.100000000000001" customHeight="1" x14ac:dyDescent="0.2">
      <c r="U729" s="2"/>
      <c r="V729" s="2"/>
      <c r="W729" s="2"/>
      <c r="X729" s="2"/>
      <c r="Y729" s="2"/>
      <c r="Z729" s="2"/>
      <c r="AA729" s="2"/>
    </row>
    <row r="730" spans="21:27" ht="20.100000000000001" customHeight="1" x14ac:dyDescent="0.2">
      <c r="U730" s="2"/>
      <c r="V730" s="2"/>
      <c r="W730" s="2"/>
      <c r="X730" s="2"/>
      <c r="Y730" s="2"/>
      <c r="Z730" s="2"/>
      <c r="AA730" s="2"/>
    </row>
    <row r="731" spans="21:27" ht="20.100000000000001" customHeight="1" x14ac:dyDescent="0.2">
      <c r="U731" s="2"/>
      <c r="V731" s="2"/>
      <c r="W731" s="2"/>
      <c r="X731" s="2"/>
      <c r="Y731" s="2"/>
      <c r="Z731" s="2"/>
      <c r="AA731" s="2"/>
    </row>
    <row r="732" spans="21:27" ht="20.100000000000001" customHeight="1" x14ac:dyDescent="0.2">
      <c r="U732" s="2"/>
      <c r="V732" s="2"/>
      <c r="W732" s="2"/>
      <c r="X732" s="2"/>
      <c r="Y732" s="2"/>
      <c r="Z732" s="2"/>
      <c r="AA732" s="2"/>
    </row>
    <row r="733" spans="21:27" ht="20.100000000000001" customHeight="1" x14ac:dyDescent="0.2">
      <c r="U733" s="2"/>
      <c r="V733" s="2"/>
      <c r="W733" s="2"/>
      <c r="X733" s="2"/>
      <c r="Y733" s="2"/>
      <c r="Z733" s="2"/>
      <c r="AA733" s="2"/>
    </row>
    <row r="734" spans="21:27" ht="20.100000000000001" customHeight="1" x14ac:dyDescent="0.2">
      <c r="U734" s="2"/>
      <c r="V734" s="2"/>
      <c r="W734" s="2"/>
      <c r="X734" s="2"/>
      <c r="Y734" s="2"/>
      <c r="Z734" s="2"/>
      <c r="AA734" s="2"/>
    </row>
    <row r="735" spans="21:27" ht="20.100000000000001" customHeight="1" x14ac:dyDescent="0.2">
      <c r="U735" s="2"/>
      <c r="V735" s="2"/>
      <c r="W735" s="2"/>
      <c r="X735" s="2"/>
      <c r="Y735" s="2"/>
      <c r="Z735" s="2"/>
      <c r="AA735" s="2"/>
    </row>
    <row r="736" spans="21:27" ht="20.100000000000001" customHeight="1" x14ac:dyDescent="0.2">
      <c r="U736" s="2"/>
      <c r="V736" s="2"/>
      <c r="W736" s="2"/>
      <c r="X736" s="2"/>
      <c r="Y736" s="2"/>
      <c r="Z736" s="2"/>
      <c r="AA736" s="2"/>
    </row>
    <row r="737" spans="21:27" ht="20.100000000000001" customHeight="1" x14ac:dyDescent="0.2">
      <c r="U737" s="2"/>
      <c r="V737" s="2"/>
      <c r="W737" s="2"/>
      <c r="X737" s="2"/>
      <c r="Y737" s="2"/>
      <c r="Z737" s="2"/>
      <c r="AA737" s="2"/>
    </row>
    <row r="738" spans="21:27" ht="20.100000000000001" customHeight="1" x14ac:dyDescent="0.2">
      <c r="U738" s="2"/>
      <c r="V738" s="2"/>
      <c r="W738" s="2"/>
      <c r="X738" s="2"/>
      <c r="Y738" s="2"/>
      <c r="Z738" s="2"/>
      <c r="AA738" s="2"/>
    </row>
    <row r="739" spans="21:27" ht="20.100000000000001" customHeight="1" x14ac:dyDescent="0.2">
      <c r="U739" s="2"/>
      <c r="V739" s="2"/>
      <c r="W739" s="2"/>
      <c r="X739" s="2"/>
      <c r="Y739" s="2"/>
      <c r="Z739" s="2"/>
      <c r="AA739" s="2"/>
    </row>
    <row r="740" spans="21:27" ht="20.100000000000001" customHeight="1" x14ac:dyDescent="0.2">
      <c r="U740" s="2"/>
      <c r="V740" s="2"/>
      <c r="W740" s="2"/>
      <c r="X740" s="2"/>
      <c r="Y740" s="2"/>
      <c r="Z740" s="2"/>
      <c r="AA740" s="2"/>
    </row>
    <row r="741" spans="21:27" ht="20.100000000000001" customHeight="1" x14ac:dyDescent="0.2">
      <c r="U741" s="2"/>
      <c r="V741" s="2"/>
      <c r="W741" s="2"/>
      <c r="X741" s="2"/>
      <c r="Y741" s="2"/>
      <c r="Z741" s="2"/>
      <c r="AA741" s="2"/>
    </row>
    <row r="742" spans="21:27" ht="20.100000000000001" customHeight="1" x14ac:dyDescent="0.2">
      <c r="U742" s="2"/>
      <c r="V742" s="2"/>
      <c r="W742" s="2"/>
      <c r="X742" s="2"/>
      <c r="Y742" s="2"/>
      <c r="Z742" s="2"/>
      <c r="AA742" s="2"/>
    </row>
    <row r="743" spans="21:27" ht="20.100000000000001" customHeight="1" x14ac:dyDescent="0.2">
      <c r="U743" s="2"/>
      <c r="V743" s="2"/>
      <c r="W743" s="2"/>
      <c r="X743" s="2"/>
      <c r="Y743" s="2"/>
      <c r="Z743" s="2"/>
      <c r="AA743" s="2"/>
    </row>
    <row r="744" spans="21:27" ht="20.100000000000001" customHeight="1" x14ac:dyDescent="0.2">
      <c r="U744" s="2"/>
      <c r="V744" s="2"/>
      <c r="W744" s="2"/>
      <c r="X744" s="2"/>
      <c r="Y744" s="2"/>
      <c r="Z744" s="2"/>
      <c r="AA744" s="2"/>
    </row>
    <row r="745" spans="21:27" ht="20.100000000000001" customHeight="1" x14ac:dyDescent="0.2">
      <c r="U745" s="2"/>
      <c r="V745" s="2"/>
      <c r="W745" s="2"/>
      <c r="X745" s="2"/>
      <c r="Y745" s="2"/>
      <c r="Z745" s="2"/>
      <c r="AA745" s="2"/>
    </row>
    <row r="746" spans="21:27" ht="20.100000000000001" customHeight="1" x14ac:dyDescent="0.2">
      <c r="U746" s="2"/>
      <c r="V746" s="2"/>
      <c r="W746" s="2"/>
      <c r="X746" s="2"/>
      <c r="Y746" s="2"/>
      <c r="Z746" s="2"/>
      <c r="AA746" s="2"/>
    </row>
    <row r="747" spans="21:27" ht="20.100000000000001" customHeight="1" x14ac:dyDescent="0.2">
      <c r="U747" s="2"/>
      <c r="V747" s="2"/>
      <c r="W747" s="2"/>
      <c r="X747" s="2"/>
      <c r="Y747" s="2"/>
      <c r="Z747" s="2"/>
      <c r="AA747" s="2"/>
    </row>
    <row r="748" spans="21:27" ht="20.100000000000001" customHeight="1" x14ac:dyDescent="0.2">
      <c r="U748" s="2"/>
      <c r="V748" s="2"/>
      <c r="W748" s="2"/>
      <c r="X748" s="2"/>
      <c r="Y748" s="2"/>
      <c r="Z748" s="2"/>
      <c r="AA748" s="2"/>
    </row>
    <row r="749" spans="21:27" ht="20.100000000000001" customHeight="1" x14ac:dyDescent="0.2">
      <c r="U749" s="2"/>
      <c r="V749" s="2"/>
      <c r="W749" s="2"/>
      <c r="X749" s="2"/>
      <c r="Y749" s="2"/>
      <c r="Z749" s="2"/>
      <c r="AA749" s="2"/>
    </row>
    <row r="750" spans="21:27" ht="20.100000000000001" customHeight="1" x14ac:dyDescent="0.2">
      <c r="U750" s="2"/>
      <c r="V750" s="2"/>
      <c r="W750" s="2"/>
      <c r="X750" s="2"/>
      <c r="Y750" s="2"/>
      <c r="Z750" s="2"/>
      <c r="AA750" s="2"/>
    </row>
    <row r="751" spans="21:27" ht="20.100000000000001" customHeight="1" x14ac:dyDescent="0.2">
      <c r="U751" s="2"/>
      <c r="V751" s="2"/>
      <c r="W751" s="2"/>
      <c r="X751" s="2"/>
      <c r="Y751" s="2"/>
      <c r="Z751" s="2"/>
      <c r="AA751" s="2"/>
    </row>
    <row r="752" spans="21:27" ht="20.100000000000001" customHeight="1" x14ac:dyDescent="0.2">
      <c r="U752" s="2"/>
      <c r="V752" s="2"/>
      <c r="W752" s="2"/>
      <c r="X752" s="2"/>
      <c r="Y752" s="2"/>
      <c r="Z752" s="2"/>
      <c r="AA752" s="2"/>
    </row>
    <row r="753" spans="21:27" ht="20.100000000000001" customHeight="1" x14ac:dyDescent="0.2">
      <c r="U753" s="2"/>
      <c r="V753" s="2"/>
      <c r="W753" s="2"/>
      <c r="X753" s="2"/>
      <c r="Y753" s="2"/>
      <c r="Z753" s="2"/>
      <c r="AA753" s="2"/>
    </row>
    <row r="754" spans="21:27" ht="20.100000000000001" customHeight="1" x14ac:dyDescent="0.2">
      <c r="U754" s="2"/>
      <c r="V754" s="2"/>
      <c r="W754" s="2"/>
      <c r="X754" s="2"/>
      <c r="Y754" s="2"/>
      <c r="Z754" s="2"/>
      <c r="AA754" s="2"/>
    </row>
    <row r="755" spans="21:27" ht="20.100000000000001" customHeight="1" x14ac:dyDescent="0.2">
      <c r="U755" s="2"/>
      <c r="V755" s="2"/>
      <c r="W755" s="2"/>
      <c r="X755" s="2"/>
      <c r="Y755" s="2"/>
      <c r="Z755" s="2"/>
      <c r="AA755" s="2"/>
    </row>
    <row r="756" spans="21:27" ht="20.100000000000001" customHeight="1" x14ac:dyDescent="0.2">
      <c r="U756" s="2"/>
      <c r="V756" s="2"/>
      <c r="W756" s="2"/>
      <c r="X756" s="2"/>
      <c r="Y756" s="2"/>
      <c r="Z756" s="2"/>
      <c r="AA756" s="2"/>
    </row>
    <row r="757" spans="21:27" ht="20.100000000000001" customHeight="1" x14ac:dyDescent="0.2">
      <c r="U757" s="2"/>
      <c r="V757" s="2"/>
      <c r="W757" s="2"/>
      <c r="X757" s="2"/>
      <c r="Y757" s="2"/>
      <c r="Z757" s="2"/>
      <c r="AA757" s="2"/>
    </row>
    <row r="758" spans="21:27" ht="20.100000000000001" customHeight="1" x14ac:dyDescent="0.2">
      <c r="U758" s="2"/>
      <c r="V758" s="2"/>
      <c r="W758" s="2"/>
      <c r="X758" s="2"/>
      <c r="Y758" s="2"/>
      <c r="Z758" s="2"/>
      <c r="AA758" s="2"/>
    </row>
    <row r="759" spans="21:27" ht="20.100000000000001" customHeight="1" x14ac:dyDescent="0.2">
      <c r="U759" s="2"/>
      <c r="V759" s="2"/>
      <c r="W759" s="2"/>
      <c r="X759" s="2"/>
      <c r="Y759" s="2"/>
      <c r="Z759" s="2"/>
      <c r="AA759" s="2"/>
    </row>
    <row r="760" spans="21:27" ht="20.100000000000001" customHeight="1" x14ac:dyDescent="0.2">
      <c r="U760" s="2"/>
      <c r="V760" s="2"/>
      <c r="W760" s="2"/>
      <c r="X760" s="2"/>
      <c r="Y760" s="2"/>
      <c r="Z760" s="2"/>
      <c r="AA760" s="2"/>
    </row>
    <row r="761" spans="21:27" ht="20.100000000000001" customHeight="1" x14ac:dyDescent="0.2">
      <c r="U761" s="2"/>
      <c r="V761" s="2"/>
      <c r="W761" s="2"/>
      <c r="X761" s="2"/>
      <c r="Y761" s="2"/>
      <c r="Z761" s="2"/>
      <c r="AA761" s="2"/>
    </row>
    <row r="762" spans="21:27" ht="20.100000000000001" customHeight="1" x14ac:dyDescent="0.2">
      <c r="U762" s="2"/>
      <c r="V762" s="2"/>
      <c r="W762" s="2"/>
      <c r="X762" s="2"/>
      <c r="Y762" s="2"/>
      <c r="Z762" s="2"/>
      <c r="AA762" s="2"/>
    </row>
    <row r="763" spans="21:27" ht="20.100000000000001" customHeight="1" x14ac:dyDescent="0.2">
      <c r="U763" s="2"/>
      <c r="V763" s="2"/>
      <c r="W763" s="2"/>
      <c r="X763" s="2"/>
      <c r="Y763" s="2"/>
      <c r="Z763" s="2"/>
      <c r="AA763" s="2"/>
    </row>
    <row r="764" spans="21:27" ht="20.100000000000001" customHeight="1" x14ac:dyDescent="0.2">
      <c r="U764" s="2"/>
      <c r="V764" s="2"/>
      <c r="W764" s="2"/>
      <c r="X764" s="2"/>
      <c r="Y764" s="2"/>
      <c r="Z764" s="2"/>
      <c r="AA764" s="2"/>
    </row>
    <row r="765" spans="21:27" ht="20.100000000000001" customHeight="1" x14ac:dyDescent="0.2">
      <c r="U765" s="2"/>
      <c r="V765" s="2"/>
      <c r="W765" s="2"/>
      <c r="X765" s="2"/>
      <c r="Y765" s="2"/>
      <c r="Z765" s="2"/>
      <c r="AA765" s="2"/>
    </row>
    <row r="766" spans="21:27" ht="20.100000000000001" customHeight="1" x14ac:dyDescent="0.2">
      <c r="U766" s="2"/>
      <c r="V766" s="2"/>
      <c r="W766" s="2"/>
      <c r="X766" s="2"/>
      <c r="Y766" s="2"/>
      <c r="Z766" s="2"/>
      <c r="AA766" s="2"/>
    </row>
    <row r="767" spans="21:27" ht="20.100000000000001" customHeight="1" x14ac:dyDescent="0.2">
      <c r="U767" s="2"/>
      <c r="V767" s="2"/>
      <c r="W767" s="2"/>
      <c r="X767" s="2"/>
      <c r="Y767" s="2"/>
      <c r="Z767" s="2"/>
      <c r="AA767" s="2"/>
    </row>
    <row r="768" spans="21:27" ht="20.100000000000001" customHeight="1" x14ac:dyDescent="0.2">
      <c r="U768" s="2"/>
      <c r="V768" s="2"/>
      <c r="W768" s="2"/>
      <c r="X768" s="2"/>
      <c r="Y768" s="2"/>
      <c r="Z768" s="2"/>
      <c r="AA768" s="2"/>
    </row>
    <row r="769" spans="21:27" ht="20.100000000000001" customHeight="1" x14ac:dyDescent="0.2">
      <c r="U769" s="2"/>
      <c r="V769" s="2"/>
      <c r="W769" s="2"/>
      <c r="X769" s="2"/>
      <c r="Y769" s="2"/>
      <c r="Z769" s="2"/>
      <c r="AA769" s="2"/>
    </row>
    <row r="770" spans="21:27" ht="20.100000000000001" customHeight="1" x14ac:dyDescent="0.2">
      <c r="U770" s="2"/>
      <c r="V770" s="2"/>
      <c r="W770" s="2"/>
      <c r="X770" s="2"/>
      <c r="Y770" s="2"/>
      <c r="Z770" s="2"/>
      <c r="AA770" s="2"/>
    </row>
    <row r="771" spans="21:27" ht="20.100000000000001" customHeight="1" x14ac:dyDescent="0.2">
      <c r="U771" s="2"/>
      <c r="V771" s="2"/>
      <c r="W771" s="2"/>
      <c r="X771" s="2"/>
      <c r="Y771" s="2"/>
      <c r="Z771" s="2"/>
      <c r="AA771" s="2"/>
    </row>
    <row r="772" spans="21:27" ht="20.100000000000001" customHeight="1" x14ac:dyDescent="0.2">
      <c r="U772" s="2"/>
      <c r="V772" s="2"/>
      <c r="W772" s="2"/>
      <c r="X772" s="2"/>
      <c r="Y772" s="2"/>
      <c r="Z772" s="2"/>
      <c r="AA772" s="2"/>
    </row>
    <row r="773" spans="21:27" ht="20.100000000000001" customHeight="1" x14ac:dyDescent="0.2">
      <c r="U773" s="2"/>
      <c r="V773" s="2"/>
      <c r="W773" s="2"/>
      <c r="X773" s="2"/>
      <c r="Y773" s="2"/>
      <c r="Z773" s="2"/>
      <c r="AA773" s="2"/>
    </row>
    <row r="774" spans="21:27" ht="20.100000000000001" customHeight="1" x14ac:dyDescent="0.2">
      <c r="U774" s="2"/>
      <c r="V774" s="2"/>
      <c r="W774" s="2"/>
      <c r="X774" s="2"/>
      <c r="Y774" s="2"/>
      <c r="Z774" s="2"/>
      <c r="AA774" s="2"/>
    </row>
    <row r="775" spans="21:27" ht="20.100000000000001" customHeight="1" x14ac:dyDescent="0.2">
      <c r="U775" s="2"/>
      <c r="V775" s="2"/>
      <c r="W775" s="2"/>
      <c r="X775" s="2"/>
      <c r="Y775" s="2"/>
      <c r="Z775" s="2"/>
      <c r="AA775" s="2"/>
    </row>
    <row r="776" spans="21:27" ht="20.100000000000001" customHeight="1" x14ac:dyDescent="0.2">
      <c r="U776" s="2"/>
      <c r="V776" s="2"/>
      <c r="W776" s="2"/>
      <c r="X776" s="2"/>
      <c r="Y776" s="2"/>
      <c r="Z776" s="2"/>
      <c r="AA776" s="2"/>
    </row>
    <row r="777" spans="21:27" ht="20.100000000000001" customHeight="1" x14ac:dyDescent="0.2">
      <c r="U777" s="2"/>
      <c r="V777" s="2"/>
      <c r="W777" s="2"/>
      <c r="X777" s="2"/>
      <c r="Y777" s="2"/>
      <c r="Z777" s="2"/>
      <c r="AA777" s="2"/>
    </row>
    <row r="778" spans="21:27" ht="20.100000000000001" customHeight="1" x14ac:dyDescent="0.2">
      <c r="U778" s="2"/>
      <c r="V778" s="2"/>
      <c r="W778" s="2"/>
      <c r="X778" s="2"/>
      <c r="Y778" s="2"/>
      <c r="Z778" s="2"/>
      <c r="AA778" s="2"/>
    </row>
    <row r="779" spans="21:27" ht="20.100000000000001" customHeight="1" x14ac:dyDescent="0.2">
      <c r="U779" s="2"/>
      <c r="V779" s="2"/>
      <c r="W779" s="2"/>
      <c r="X779" s="2"/>
      <c r="Y779" s="2"/>
      <c r="Z779" s="2"/>
      <c r="AA779" s="2"/>
    </row>
    <row r="780" spans="21:27" ht="20.100000000000001" customHeight="1" x14ac:dyDescent="0.2">
      <c r="U780" s="2"/>
      <c r="V780" s="2"/>
      <c r="W780" s="2"/>
      <c r="X780" s="2"/>
      <c r="Y780" s="2"/>
      <c r="Z780" s="2"/>
      <c r="AA780" s="2"/>
    </row>
    <row r="781" spans="21:27" ht="20.100000000000001" customHeight="1" x14ac:dyDescent="0.2">
      <c r="U781" s="2"/>
      <c r="V781" s="2"/>
      <c r="W781" s="2"/>
      <c r="X781" s="2"/>
      <c r="Y781" s="2"/>
      <c r="Z781" s="2"/>
      <c r="AA781" s="2"/>
    </row>
    <row r="782" spans="21:27" ht="20.100000000000001" customHeight="1" x14ac:dyDescent="0.2">
      <c r="U782" s="2"/>
      <c r="V782" s="2"/>
      <c r="W782" s="2"/>
      <c r="X782" s="2"/>
      <c r="Y782" s="2"/>
      <c r="Z782" s="2"/>
      <c r="AA782" s="2"/>
    </row>
    <row r="783" spans="21:27" ht="20.100000000000001" customHeight="1" x14ac:dyDescent="0.2">
      <c r="U783" s="2"/>
      <c r="V783" s="2"/>
      <c r="W783" s="2"/>
      <c r="X783" s="2"/>
      <c r="Y783" s="2"/>
      <c r="Z783" s="2"/>
      <c r="AA783" s="2"/>
    </row>
    <row r="784" spans="21:27" ht="20.100000000000001" customHeight="1" x14ac:dyDescent="0.2">
      <c r="U784" s="2"/>
      <c r="V784" s="2"/>
      <c r="W784" s="2"/>
      <c r="X784" s="2"/>
      <c r="Y784" s="2"/>
      <c r="Z784" s="2"/>
      <c r="AA784" s="2"/>
    </row>
    <row r="785" spans="21:27" ht="20.100000000000001" customHeight="1" x14ac:dyDescent="0.2">
      <c r="U785" s="2"/>
      <c r="V785" s="2"/>
      <c r="W785" s="2"/>
      <c r="X785" s="2"/>
      <c r="Y785" s="2"/>
      <c r="Z785" s="2"/>
      <c r="AA785" s="2"/>
    </row>
    <row r="786" spans="21:27" ht="20.100000000000001" customHeight="1" x14ac:dyDescent="0.2">
      <c r="U786" s="2"/>
      <c r="V786" s="2"/>
      <c r="W786" s="2"/>
      <c r="X786" s="2"/>
      <c r="Y786" s="2"/>
      <c r="Z786" s="2"/>
      <c r="AA786" s="2"/>
    </row>
    <row r="787" spans="21:27" ht="20.100000000000001" customHeight="1" x14ac:dyDescent="0.2">
      <c r="U787" s="2"/>
      <c r="V787" s="2"/>
      <c r="W787" s="2"/>
      <c r="X787" s="2"/>
      <c r="Y787" s="2"/>
      <c r="Z787" s="2"/>
      <c r="AA787" s="2"/>
    </row>
    <row r="788" spans="21:27" ht="20.100000000000001" customHeight="1" x14ac:dyDescent="0.2">
      <c r="U788" s="2"/>
      <c r="V788" s="2"/>
      <c r="W788" s="2"/>
      <c r="X788" s="2"/>
      <c r="Y788" s="2"/>
      <c r="Z788" s="2"/>
      <c r="AA788" s="2"/>
    </row>
    <row r="789" spans="21:27" ht="20.100000000000001" customHeight="1" x14ac:dyDescent="0.2">
      <c r="U789" s="2"/>
      <c r="V789" s="2"/>
      <c r="W789" s="2"/>
      <c r="X789" s="2"/>
      <c r="Y789" s="2"/>
      <c r="Z789" s="2"/>
      <c r="AA789" s="2"/>
    </row>
    <row r="790" spans="21:27" ht="20.100000000000001" customHeight="1" x14ac:dyDescent="0.2">
      <c r="U790" s="2"/>
      <c r="V790" s="2"/>
      <c r="W790" s="2"/>
      <c r="X790" s="2"/>
      <c r="Y790" s="2"/>
      <c r="Z790" s="2"/>
      <c r="AA790" s="2"/>
    </row>
    <row r="791" spans="21:27" ht="20.100000000000001" customHeight="1" x14ac:dyDescent="0.2">
      <c r="U791" s="2"/>
      <c r="V791" s="2"/>
      <c r="W791" s="2"/>
      <c r="X791" s="2"/>
      <c r="Y791" s="2"/>
      <c r="Z791" s="2"/>
      <c r="AA791" s="2"/>
    </row>
    <row r="792" spans="21:27" ht="20.100000000000001" customHeight="1" x14ac:dyDescent="0.2">
      <c r="U792" s="2"/>
      <c r="V792" s="2"/>
      <c r="W792" s="2"/>
      <c r="X792" s="2"/>
      <c r="Y792" s="2"/>
      <c r="Z792" s="2"/>
      <c r="AA792" s="2"/>
    </row>
    <row r="793" spans="21:27" ht="20.100000000000001" customHeight="1" x14ac:dyDescent="0.2">
      <c r="U793" s="2"/>
      <c r="V793" s="2"/>
      <c r="W793" s="2"/>
      <c r="X793" s="2"/>
      <c r="Y793" s="2"/>
      <c r="Z793" s="2"/>
      <c r="AA793" s="2"/>
    </row>
    <row r="794" spans="21:27" ht="20.100000000000001" customHeight="1" x14ac:dyDescent="0.2">
      <c r="U794" s="2"/>
      <c r="V794" s="2"/>
      <c r="W794" s="2"/>
      <c r="X794" s="2"/>
      <c r="Y794" s="2"/>
      <c r="Z794" s="2"/>
      <c r="AA794" s="2"/>
    </row>
    <row r="795" spans="21:27" ht="20.100000000000001" customHeight="1" x14ac:dyDescent="0.2">
      <c r="U795" s="2"/>
      <c r="V795" s="2"/>
      <c r="W795" s="2"/>
      <c r="X795" s="2"/>
      <c r="Y795" s="2"/>
      <c r="Z795" s="2"/>
      <c r="AA795" s="2"/>
    </row>
    <row r="796" spans="21:27" ht="20.100000000000001" customHeight="1" x14ac:dyDescent="0.2">
      <c r="U796" s="2"/>
      <c r="V796" s="2"/>
      <c r="W796" s="2"/>
      <c r="X796" s="2"/>
      <c r="Y796" s="2"/>
      <c r="Z796" s="2"/>
      <c r="AA796" s="2"/>
    </row>
    <row r="797" spans="21:27" ht="20.100000000000001" customHeight="1" x14ac:dyDescent="0.2">
      <c r="U797" s="2"/>
      <c r="V797" s="2"/>
      <c r="W797" s="2"/>
      <c r="X797" s="2"/>
      <c r="Y797" s="2"/>
      <c r="Z797" s="2"/>
      <c r="AA797" s="2"/>
    </row>
    <row r="798" spans="21:27" ht="20.100000000000001" customHeight="1" x14ac:dyDescent="0.2">
      <c r="U798" s="2"/>
      <c r="V798" s="2"/>
      <c r="W798" s="2"/>
      <c r="X798" s="2"/>
      <c r="Y798" s="2"/>
      <c r="Z798" s="2"/>
      <c r="AA798" s="2"/>
    </row>
    <row r="799" spans="21:27" ht="20.100000000000001" customHeight="1" x14ac:dyDescent="0.2">
      <c r="U799" s="2"/>
      <c r="V799" s="2"/>
      <c r="W799" s="2"/>
      <c r="X799" s="2"/>
      <c r="Y799" s="2"/>
      <c r="Z799" s="2"/>
      <c r="AA799" s="2"/>
    </row>
    <row r="800" spans="21:27" ht="20.100000000000001" customHeight="1" x14ac:dyDescent="0.2">
      <c r="U800" s="2"/>
      <c r="V800" s="2"/>
      <c r="W800" s="2"/>
      <c r="X800" s="2"/>
      <c r="Y800" s="2"/>
      <c r="Z800" s="2"/>
      <c r="AA800" s="2"/>
    </row>
    <row r="801" spans="21:27" ht="20.100000000000001" customHeight="1" x14ac:dyDescent="0.2">
      <c r="U801" s="2"/>
      <c r="V801" s="2"/>
      <c r="W801" s="2"/>
      <c r="X801" s="2"/>
      <c r="Y801" s="2"/>
      <c r="Z801" s="2"/>
      <c r="AA801" s="2"/>
    </row>
    <row r="802" spans="21:27" ht="20.100000000000001" customHeight="1" x14ac:dyDescent="0.2">
      <c r="U802" s="2"/>
      <c r="V802" s="2"/>
      <c r="W802" s="2"/>
      <c r="X802" s="2"/>
      <c r="Y802" s="2"/>
      <c r="Z802" s="2"/>
      <c r="AA802" s="2"/>
    </row>
    <row r="803" spans="21:27" ht="20.100000000000001" customHeight="1" x14ac:dyDescent="0.2">
      <c r="U803" s="2"/>
      <c r="V803" s="2"/>
      <c r="W803" s="2"/>
      <c r="X803" s="2"/>
      <c r="Y803" s="2"/>
      <c r="Z803" s="2"/>
      <c r="AA803" s="2"/>
    </row>
    <row r="804" spans="21:27" ht="20.100000000000001" customHeight="1" x14ac:dyDescent="0.2">
      <c r="U804" s="2"/>
      <c r="V804" s="2"/>
      <c r="W804" s="2"/>
      <c r="X804" s="2"/>
      <c r="Y804" s="2"/>
      <c r="Z804" s="2"/>
      <c r="AA804" s="2"/>
    </row>
    <row r="805" spans="21:27" ht="20.100000000000001" customHeight="1" x14ac:dyDescent="0.2">
      <c r="U805" s="2"/>
      <c r="V805" s="2"/>
      <c r="W805" s="2"/>
      <c r="X805" s="2"/>
      <c r="Y805" s="2"/>
      <c r="Z805" s="2"/>
      <c r="AA805" s="2"/>
    </row>
    <row r="806" spans="21:27" ht="20.100000000000001" customHeight="1" x14ac:dyDescent="0.2">
      <c r="U806" s="2"/>
      <c r="V806" s="2"/>
      <c r="W806" s="2"/>
      <c r="X806" s="2"/>
      <c r="Y806" s="2"/>
      <c r="Z806" s="2"/>
      <c r="AA806" s="2"/>
    </row>
    <row r="807" spans="21:27" ht="20.100000000000001" customHeight="1" x14ac:dyDescent="0.2">
      <c r="U807" s="2"/>
      <c r="V807" s="2"/>
      <c r="W807" s="2"/>
      <c r="X807" s="2"/>
      <c r="Y807" s="2"/>
      <c r="Z807" s="2"/>
      <c r="AA807" s="2"/>
    </row>
    <row r="808" spans="21:27" ht="20.100000000000001" customHeight="1" x14ac:dyDescent="0.2">
      <c r="U808" s="2"/>
      <c r="V808" s="2"/>
      <c r="W808" s="2"/>
      <c r="X808" s="2"/>
      <c r="Y808" s="2"/>
      <c r="Z808" s="2"/>
      <c r="AA808" s="2"/>
    </row>
    <row r="809" spans="21:27" ht="20.100000000000001" customHeight="1" x14ac:dyDescent="0.2">
      <c r="U809" s="2"/>
      <c r="V809" s="2"/>
      <c r="W809" s="2"/>
      <c r="X809" s="2"/>
      <c r="Y809" s="2"/>
      <c r="Z809" s="2"/>
      <c r="AA809" s="2"/>
    </row>
    <row r="810" spans="21:27" ht="20.100000000000001" customHeight="1" x14ac:dyDescent="0.2">
      <c r="U810" s="2"/>
      <c r="V810" s="2"/>
      <c r="W810" s="2"/>
      <c r="X810" s="2"/>
      <c r="Y810" s="2"/>
      <c r="Z810" s="2"/>
      <c r="AA810" s="2"/>
    </row>
    <row r="811" spans="21:27" ht="20.100000000000001" customHeight="1" x14ac:dyDescent="0.2">
      <c r="U811" s="2"/>
      <c r="V811" s="2"/>
      <c r="W811" s="2"/>
      <c r="X811" s="2"/>
      <c r="Y811" s="2"/>
      <c r="Z811" s="2"/>
      <c r="AA811" s="2"/>
    </row>
    <row r="812" spans="21:27" ht="20.100000000000001" customHeight="1" x14ac:dyDescent="0.2">
      <c r="U812" s="2"/>
      <c r="V812" s="2"/>
      <c r="W812" s="2"/>
      <c r="X812" s="2"/>
      <c r="Y812" s="2"/>
      <c r="Z812" s="2"/>
      <c r="AA812" s="2"/>
    </row>
    <row r="813" spans="21:27" ht="20.100000000000001" customHeight="1" x14ac:dyDescent="0.2">
      <c r="U813" s="2"/>
      <c r="V813" s="2"/>
      <c r="W813" s="2"/>
      <c r="X813" s="2"/>
      <c r="Y813" s="2"/>
      <c r="Z813" s="2"/>
      <c r="AA813" s="2"/>
    </row>
    <row r="814" spans="21:27" ht="20.100000000000001" customHeight="1" x14ac:dyDescent="0.2">
      <c r="U814" s="2"/>
      <c r="V814" s="2"/>
      <c r="W814" s="2"/>
      <c r="X814" s="2"/>
      <c r="Y814" s="2"/>
      <c r="Z814" s="2"/>
      <c r="AA814" s="2"/>
    </row>
    <row r="815" spans="21:27" ht="20.100000000000001" customHeight="1" x14ac:dyDescent="0.2">
      <c r="U815" s="2"/>
      <c r="V815" s="2"/>
      <c r="W815" s="2"/>
      <c r="X815" s="2"/>
      <c r="Y815" s="2"/>
      <c r="Z815" s="2"/>
      <c r="AA815" s="2"/>
    </row>
    <row r="816" spans="21:27" ht="20.100000000000001" customHeight="1" x14ac:dyDescent="0.2">
      <c r="U816" s="2"/>
      <c r="V816" s="2"/>
      <c r="W816" s="2"/>
      <c r="X816" s="2"/>
      <c r="Y816" s="2"/>
      <c r="Z816" s="2"/>
      <c r="AA816" s="2"/>
    </row>
    <row r="817" spans="21:27" ht="20.100000000000001" customHeight="1" x14ac:dyDescent="0.2">
      <c r="U817" s="2"/>
      <c r="V817" s="2"/>
      <c r="W817" s="2"/>
      <c r="X817" s="2"/>
      <c r="Y817" s="2"/>
      <c r="Z817" s="2"/>
      <c r="AA817" s="2"/>
    </row>
    <row r="818" spans="21:27" ht="20.100000000000001" customHeight="1" x14ac:dyDescent="0.2">
      <c r="U818" s="2"/>
      <c r="V818" s="2"/>
      <c r="W818" s="2"/>
      <c r="X818" s="2"/>
      <c r="Y818" s="2"/>
      <c r="Z818" s="2"/>
      <c r="AA818" s="2"/>
    </row>
    <row r="819" spans="21:27" ht="20.100000000000001" customHeight="1" x14ac:dyDescent="0.2">
      <c r="U819" s="2"/>
      <c r="V819" s="2"/>
      <c r="W819" s="2"/>
      <c r="X819" s="2"/>
      <c r="Y819" s="2"/>
      <c r="Z819" s="2"/>
      <c r="AA819" s="2"/>
    </row>
    <row r="820" spans="21:27" ht="20.100000000000001" customHeight="1" x14ac:dyDescent="0.2">
      <c r="U820" s="2"/>
      <c r="V820" s="2"/>
      <c r="W820" s="2"/>
      <c r="X820" s="2"/>
      <c r="Y820" s="2"/>
      <c r="Z820" s="2"/>
      <c r="AA820" s="2"/>
    </row>
    <row r="821" spans="21:27" ht="20.100000000000001" customHeight="1" x14ac:dyDescent="0.2">
      <c r="U821" s="2"/>
      <c r="V821" s="2"/>
      <c r="W821" s="2"/>
      <c r="X821" s="2"/>
      <c r="Y821" s="2"/>
      <c r="Z821" s="2"/>
      <c r="AA821" s="2"/>
    </row>
    <row r="822" spans="21:27" ht="20.100000000000001" customHeight="1" x14ac:dyDescent="0.2">
      <c r="U822" s="2"/>
      <c r="V822" s="2"/>
      <c r="W822" s="2"/>
      <c r="X822" s="2"/>
      <c r="Y822" s="2"/>
      <c r="Z822" s="2"/>
      <c r="AA822" s="2"/>
    </row>
    <row r="823" spans="21:27" ht="20.100000000000001" customHeight="1" x14ac:dyDescent="0.2">
      <c r="U823" s="2"/>
      <c r="V823" s="2"/>
      <c r="W823" s="2"/>
      <c r="X823" s="2"/>
      <c r="Y823" s="2"/>
      <c r="Z823" s="2"/>
      <c r="AA823" s="2"/>
    </row>
    <row r="824" spans="21:27" ht="20.100000000000001" customHeight="1" x14ac:dyDescent="0.2">
      <c r="U824" s="2"/>
      <c r="V824" s="2"/>
      <c r="W824" s="2"/>
      <c r="X824" s="2"/>
      <c r="Y824" s="2"/>
      <c r="Z824" s="2"/>
      <c r="AA824" s="2"/>
    </row>
    <row r="825" spans="21:27" ht="20.100000000000001" customHeight="1" x14ac:dyDescent="0.2">
      <c r="U825" s="2"/>
      <c r="V825" s="2"/>
      <c r="W825" s="2"/>
      <c r="X825" s="2"/>
      <c r="Y825" s="2"/>
      <c r="Z825" s="2"/>
      <c r="AA825" s="2"/>
    </row>
    <row r="826" spans="21:27" ht="20.100000000000001" customHeight="1" x14ac:dyDescent="0.2">
      <c r="U826" s="2"/>
      <c r="V826" s="2"/>
      <c r="W826" s="2"/>
      <c r="X826" s="2"/>
      <c r="Y826" s="2"/>
      <c r="Z826" s="2"/>
      <c r="AA826" s="2"/>
    </row>
    <row r="827" spans="21:27" ht="20.100000000000001" customHeight="1" x14ac:dyDescent="0.2">
      <c r="U827" s="2"/>
      <c r="V827" s="2"/>
      <c r="W827" s="2"/>
      <c r="X827" s="2"/>
      <c r="Y827" s="2"/>
      <c r="Z827" s="2"/>
      <c r="AA827" s="2"/>
    </row>
    <row r="828" spans="21:27" ht="20.100000000000001" customHeight="1" x14ac:dyDescent="0.2">
      <c r="U828" s="2"/>
      <c r="V828" s="2"/>
      <c r="W828" s="2"/>
      <c r="X828" s="2"/>
      <c r="Y828" s="2"/>
      <c r="Z828" s="2"/>
      <c r="AA828" s="2"/>
    </row>
    <row r="829" spans="21:27" ht="20.100000000000001" customHeight="1" x14ac:dyDescent="0.2">
      <c r="U829" s="2"/>
      <c r="V829" s="2"/>
      <c r="W829" s="2"/>
      <c r="X829" s="2"/>
      <c r="Y829" s="2"/>
      <c r="Z829" s="2"/>
      <c r="AA829" s="2"/>
    </row>
    <row r="830" spans="21:27" ht="20.100000000000001" customHeight="1" x14ac:dyDescent="0.2">
      <c r="U830" s="2"/>
      <c r="V830" s="2"/>
      <c r="W830" s="2"/>
      <c r="X830" s="2"/>
      <c r="Y830" s="2"/>
      <c r="Z830" s="2"/>
      <c r="AA830" s="2"/>
    </row>
    <row r="831" spans="21:27" ht="20.100000000000001" customHeight="1" x14ac:dyDescent="0.2">
      <c r="U831" s="2"/>
      <c r="V831" s="2"/>
      <c r="W831" s="2"/>
      <c r="X831" s="2"/>
      <c r="Y831" s="2"/>
      <c r="Z831" s="2"/>
      <c r="AA831" s="2"/>
    </row>
    <row r="832" spans="21:27" ht="20.100000000000001" customHeight="1" x14ac:dyDescent="0.2">
      <c r="U832" s="2"/>
      <c r="V832" s="2"/>
      <c r="W832" s="2"/>
      <c r="X832" s="2"/>
      <c r="Y832" s="2"/>
      <c r="Z832" s="2"/>
      <c r="AA832" s="2"/>
    </row>
    <row r="833" spans="21:27" ht="20.100000000000001" customHeight="1" x14ac:dyDescent="0.2">
      <c r="U833" s="2"/>
      <c r="V833" s="2"/>
      <c r="W833" s="2"/>
      <c r="X833" s="2"/>
      <c r="Y833" s="2"/>
      <c r="Z833" s="2"/>
      <c r="AA833" s="2"/>
    </row>
    <row r="834" spans="21:27" ht="20.100000000000001" customHeight="1" x14ac:dyDescent="0.2">
      <c r="U834" s="2"/>
      <c r="V834" s="2"/>
      <c r="W834" s="2"/>
      <c r="X834" s="2"/>
      <c r="Y834" s="2"/>
      <c r="Z834" s="2"/>
      <c r="AA834" s="2"/>
    </row>
    <row r="835" spans="21:27" ht="20.100000000000001" customHeight="1" x14ac:dyDescent="0.2">
      <c r="U835" s="2"/>
      <c r="V835" s="2"/>
      <c r="W835" s="2"/>
      <c r="X835" s="2"/>
      <c r="Y835" s="2"/>
      <c r="Z835" s="2"/>
      <c r="AA835" s="2"/>
    </row>
    <row r="836" spans="21:27" ht="20.100000000000001" customHeight="1" x14ac:dyDescent="0.2">
      <c r="U836" s="2"/>
      <c r="V836" s="2"/>
      <c r="W836" s="2"/>
      <c r="X836" s="2"/>
      <c r="Y836" s="2"/>
      <c r="Z836" s="2"/>
      <c r="AA836" s="2"/>
    </row>
    <row r="837" spans="21:27" ht="20.100000000000001" customHeight="1" x14ac:dyDescent="0.2">
      <c r="U837" s="2"/>
      <c r="V837" s="2"/>
      <c r="W837" s="2"/>
      <c r="X837" s="2"/>
      <c r="Y837" s="2"/>
      <c r="Z837" s="2"/>
      <c r="AA837" s="2"/>
    </row>
    <row r="838" spans="21:27" ht="20.100000000000001" customHeight="1" x14ac:dyDescent="0.2">
      <c r="U838" s="2"/>
      <c r="V838" s="2"/>
      <c r="W838" s="2"/>
      <c r="X838" s="2"/>
      <c r="Y838" s="2"/>
      <c r="Z838" s="2"/>
      <c r="AA838" s="2"/>
    </row>
    <row r="839" spans="21:27" ht="20.100000000000001" customHeight="1" x14ac:dyDescent="0.2">
      <c r="U839" s="2"/>
      <c r="V839" s="2"/>
      <c r="W839" s="2"/>
      <c r="X839" s="2"/>
      <c r="Y839" s="2"/>
      <c r="Z839" s="2"/>
      <c r="AA839" s="2"/>
    </row>
    <row r="840" spans="21:27" ht="20.100000000000001" customHeight="1" x14ac:dyDescent="0.2">
      <c r="U840" s="2"/>
      <c r="V840" s="2"/>
      <c r="W840" s="2"/>
      <c r="X840" s="2"/>
      <c r="Y840" s="2"/>
      <c r="Z840" s="2"/>
      <c r="AA840" s="2"/>
    </row>
    <row r="841" spans="21:27" ht="20.100000000000001" customHeight="1" x14ac:dyDescent="0.2">
      <c r="U841" s="2"/>
      <c r="V841" s="2"/>
      <c r="W841" s="2"/>
      <c r="X841" s="2"/>
      <c r="Y841" s="2"/>
      <c r="Z841" s="2"/>
      <c r="AA841" s="2"/>
    </row>
    <row r="842" spans="21:27" ht="20.100000000000001" customHeight="1" x14ac:dyDescent="0.2">
      <c r="U842" s="2"/>
      <c r="V842" s="2"/>
      <c r="W842" s="2"/>
      <c r="X842" s="2"/>
      <c r="Y842" s="2"/>
      <c r="Z842" s="2"/>
      <c r="AA842" s="2"/>
    </row>
    <row r="843" spans="21:27" ht="20.100000000000001" customHeight="1" x14ac:dyDescent="0.2">
      <c r="U843" s="2"/>
      <c r="V843" s="2"/>
      <c r="W843" s="2"/>
      <c r="X843" s="2"/>
      <c r="Y843" s="2"/>
      <c r="Z843" s="2"/>
      <c r="AA843" s="2"/>
    </row>
    <row r="844" spans="21:27" ht="20.100000000000001" customHeight="1" x14ac:dyDescent="0.2">
      <c r="U844" s="2"/>
      <c r="V844" s="2"/>
      <c r="W844" s="2"/>
      <c r="X844" s="2"/>
      <c r="Y844" s="2"/>
      <c r="Z844" s="2"/>
      <c r="AA844" s="2"/>
    </row>
    <row r="845" spans="21:27" ht="20.100000000000001" customHeight="1" x14ac:dyDescent="0.2">
      <c r="U845" s="2"/>
      <c r="V845" s="2"/>
      <c r="W845" s="2"/>
      <c r="X845" s="2"/>
      <c r="Y845" s="2"/>
      <c r="Z845" s="2"/>
      <c r="AA845" s="2"/>
    </row>
    <row r="846" spans="21:27" ht="20.100000000000001" customHeight="1" x14ac:dyDescent="0.2">
      <c r="U846" s="2"/>
      <c r="V846" s="2"/>
      <c r="W846" s="2"/>
      <c r="X846" s="2"/>
      <c r="Y846" s="2"/>
      <c r="Z846" s="2"/>
      <c r="AA846" s="2"/>
    </row>
    <row r="847" spans="21:27" ht="20.100000000000001" customHeight="1" x14ac:dyDescent="0.2">
      <c r="U847" s="2"/>
      <c r="V847" s="2"/>
      <c r="W847" s="2"/>
      <c r="X847" s="2"/>
      <c r="Y847" s="2"/>
      <c r="Z847" s="2"/>
      <c r="AA847" s="2"/>
    </row>
    <row r="848" spans="21:27" ht="20.100000000000001" customHeight="1" x14ac:dyDescent="0.2">
      <c r="U848" s="2"/>
      <c r="V848" s="2"/>
      <c r="W848" s="2"/>
      <c r="X848" s="2"/>
      <c r="Y848" s="2"/>
      <c r="Z848" s="2"/>
      <c r="AA848" s="2"/>
    </row>
    <row r="849" spans="21:27" ht="20.100000000000001" customHeight="1" x14ac:dyDescent="0.2">
      <c r="U849" s="2"/>
      <c r="V849" s="2"/>
      <c r="W849" s="2"/>
      <c r="X849" s="2"/>
      <c r="Y849" s="2"/>
      <c r="Z849" s="2"/>
      <c r="AA849" s="2"/>
    </row>
    <row r="850" spans="21:27" ht="20.100000000000001" customHeight="1" x14ac:dyDescent="0.2">
      <c r="U850" s="2"/>
      <c r="V850" s="2"/>
      <c r="W850" s="2"/>
      <c r="X850" s="2"/>
      <c r="Y850" s="2"/>
      <c r="Z850" s="2"/>
      <c r="AA850" s="2"/>
    </row>
    <row r="851" spans="21:27" ht="20.100000000000001" customHeight="1" x14ac:dyDescent="0.2">
      <c r="U851" s="2"/>
      <c r="V851" s="2"/>
      <c r="W851" s="2"/>
      <c r="X851" s="2"/>
      <c r="Y851" s="2"/>
      <c r="Z851" s="2"/>
      <c r="AA851" s="2"/>
    </row>
    <row r="852" spans="21:27" ht="20.100000000000001" customHeight="1" x14ac:dyDescent="0.2">
      <c r="U852" s="2"/>
      <c r="V852" s="2"/>
      <c r="W852" s="2"/>
      <c r="X852" s="2"/>
      <c r="Y852" s="2"/>
      <c r="Z852" s="2"/>
      <c r="AA852" s="2"/>
    </row>
    <row r="853" spans="21:27" ht="20.100000000000001" customHeight="1" x14ac:dyDescent="0.2">
      <c r="U853" s="2"/>
      <c r="V853" s="2"/>
      <c r="W853" s="2"/>
      <c r="X853" s="2"/>
      <c r="Y853" s="2"/>
      <c r="Z853" s="2"/>
      <c r="AA853" s="2"/>
    </row>
    <row r="854" spans="21:27" ht="20.100000000000001" customHeight="1" x14ac:dyDescent="0.2">
      <c r="U854" s="2"/>
      <c r="V854" s="2"/>
      <c r="W854" s="2"/>
      <c r="X854" s="2"/>
      <c r="Y854" s="2"/>
      <c r="Z854" s="2"/>
      <c r="AA854" s="2"/>
    </row>
    <row r="855" spans="21:27" ht="20.100000000000001" customHeight="1" x14ac:dyDescent="0.2">
      <c r="U855" s="2"/>
      <c r="V855" s="2"/>
      <c r="W855" s="2"/>
      <c r="X855" s="2"/>
      <c r="Y855" s="2"/>
      <c r="Z855" s="2"/>
      <c r="AA855" s="2"/>
    </row>
    <row r="856" spans="21:27" ht="20.100000000000001" customHeight="1" x14ac:dyDescent="0.2">
      <c r="U856" s="2"/>
      <c r="V856" s="2"/>
      <c r="W856" s="2"/>
      <c r="X856" s="2"/>
      <c r="Y856" s="2"/>
      <c r="Z856" s="2"/>
      <c r="AA856" s="2"/>
    </row>
    <row r="857" spans="21:27" ht="20.100000000000001" customHeight="1" x14ac:dyDescent="0.2">
      <c r="U857" s="2"/>
      <c r="V857" s="2"/>
      <c r="W857" s="2"/>
      <c r="X857" s="2"/>
      <c r="Y857" s="2"/>
      <c r="Z857" s="2"/>
      <c r="AA857" s="2"/>
    </row>
    <row r="858" spans="21:27" ht="20.100000000000001" customHeight="1" x14ac:dyDescent="0.2">
      <c r="U858" s="2"/>
      <c r="V858" s="2"/>
      <c r="W858" s="2"/>
      <c r="X858" s="2"/>
      <c r="Y858" s="2"/>
      <c r="Z858" s="2"/>
      <c r="AA858" s="2"/>
    </row>
    <row r="859" spans="21:27" ht="20.100000000000001" customHeight="1" x14ac:dyDescent="0.2">
      <c r="U859" s="2"/>
      <c r="V859" s="2"/>
      <c r="W859" s="2"/>
      <c r="X859" s="2"/>
      <c r="Y859" s="2"/>
      <c r="Z859" s="2"/>
      <c r="AA859" s="2"/>
    </row>
    <row r="860" spans="21:27" ht="20.100000000000001" customHeight="1" x14ac:dyDescent="0.2">
      <c r="U860" s="2"/>
      <c r="V860" s="2"/>
      <c r="W860" s="2"/>
      <c r="X860" s="2"/>
      <c r="Y860" s="2"/>
      <c r="Z860" s="2"/>
      <c r="AA860" s="2"/>
    </row>
    <row r="861" spans="21:27" ht="20.100000000000001" customHeight="1" x14ac:dyDescent="0.2">
      <c r="U861" s="2"/>
      <c r="V861" s="2"/>
      <c r="W861" s="2"/>
      <c r="X861" s="2"/>
      <c r="Y861" s="2"/>
      <c r="Z861" s="2"/>
      <c r="AA861" s="2"/>
    </row>
    <row r="862" spans="21:27" ht="20.100000000000001" customHeight="1" x14ac:dyDescent="0.2">
      <c r="U862" s="2"/>
      <c r="V862" s="2"/>
      <c r="W862" s="2"/>
      <c r="X862" s="2"/>
      <c r="Y862" s="2"/>
      <c r="Z862" s="2"/>
      <c r="AA862" s="2"/>
    </row>
    <row r="863" spans="21:27" ht="20.100000000000001" customHeight="1" x14ac:dyDescent="0.2">
      <c r="U863" s="2"/>
      <c r="V863" s="2"/>
      <c r="W863" s="2"/>
      <c r="X863" s="2"/>
      <c r="Y863" s="2"/>
      <c r="Z863" s="2"/>
      <c r="AA863" s="2"/>
    </row>
    <row r="864" spans="21:27" ht="20.100000000000001" customHeight="1" x14ac:dyDescent="0.2">
      <c r="U864" s="2"/>
      <c r="V864" s="2"/>
      <c r="W864" s="2"/>
      <c r="X864" s="2"/>
      <c r="Y864" s="2"/>
      <c r="Z864" s="2"/>
      <c r="AA864" s="2"/>
    </row>
    <row r="865" spans="21:27" ht="20.100000000000001" customHeight="1" x14ac:dyDescent="0.2">
      <c r="U865" s="2"/>
      <c r="V865" s="2"/>
      <c r="W865" s="2"/>
      <c r="X865" s="2"/>
      <c r="Y865" s="2"/>
      <c r="Z865" s="2"/>
      <c r="AA865" s="2"/>
    </row>
    <row r="866" spans="21:27" ht="20.100000000000001" customHeight="1" x14ac:dyDescent="0.2">
      <c r="U866" s="2"/>
      <c r="V866" s="2"/>
      <c r="W866" s="2"/>
      <c r="X866" s="2"/>
      <c r="Y866" s="2"/>
      <c r="Z866" s="2"/>
      <c r="AA866" s="2"/>
    </row>
    <row r="867" spans="21:27" ht="20.100000000000001" customHeight="1" x14ac:dyDescent="0.2">
      <c r="U867" s="2"/>
      <c r="V867" s="2"/>
      <c r="W867" s="2"/>
      <c r="X867" s="2"/>
      <c r="Y867" s="2"/>
      <c r="Z867" s="2"/>
      <c r="AA867" s="2"/>
    </row>
    <row r="868" spans="21:27" ht="20.100000000000001" customHeight="1" x14ac:dyDescent="0.2">
      <c r="U868" s="2"/>
      <c r="V868" s="2"/>
      <c r="W868" s="2"/>
      <c r="X868" s="2"/>
      <c r="Y868" s="2"/>
      <c r="Z868" s="2"/>
      <c r="AA868" s="2"/>
    </row>
    <row r="869" spans="21:27" ht="20.100000000000001" customHeight="1" x14ac:dyDescent="0.2">
      <c r="U869" s="2"/>
      <c r="V869" s="2"/>
      <c r="W869" s="2"/>
      <c r="X869" s="2"/>
      <c r="Y869" s="2"/>
      <c r="Z869" s="2"/>
      <c r="AA869" s="2"/>
    </row>
    <row r="870" spans="21:27" ht="20.100000000000001" customHeight="1" x14ac:dyDescent="0.2">
      <c r="U870" s="2"/>
      <c r="V870" s="2"/>
      <c r="W870" s="2"/>
      <c r="X870" s="2"/>
      <c r="Y870" s="2"/>
      <c r="Z870" s="2"/>
      <c r="AA870" s="2"/>
    </row>
    <row r="871" spans="21:27" ht="20.100000000000001" customHeight="1" x14ac:dyDescent="0.2">
      <c r="U871" s="2"/>
      <c r="V871" s="2"/>
      <c r="W871" s="2"/>
      <c r="X871" s="2"/>
      <c r="Y871" s="2"/>
      <c r="Z871" s="2"/>
      <c r="AA871" s="2"/>
    </row>
    <row r="872" spans="21:27" ht="20.100000000000001" customHeight="1" x14ac:dyDescent="0.2">
      <c r="U872" s="2"/>
      <c r="V872" s="2"/>
      <c r="W872" s="2"/>
      <c r="X872" s="2"/>
      <c r="Y872" s="2"/>
      <c r="Z872" s="2"/>
      <c r="AA872" s="2"/>
    </row>
    <row r="873" spans="21:27" ht="20.100000000000001" customHeight="1" x14ac:dyDescent="0.2">
      <c r="U873" s="2"/>
      <c r="V873" s="2"/>
      <c r="W873" s="2"/>
      <c r="X873" s="2"/>
      <c r="Y873" s="2"/>
      <c r="Z873" s="2"/>
      <c r="AA873" s="2"/>
    </row>
    <row r="874" spans="21:27" ht="20.100000000000001" customHeight="1" x14ac:dyDescent="0.2">
      <c r="U874" s="2"/>
      <c r="V874" s="2"/>
      <c r="W874" s="2"/>
      <c r="X874" s="2"/>
      <c r="Y874" s="2"/>
      <c r="Z874" s="2"/>
      <c r="AA874" s="2"/>
    </row>
    <row r="875" spans="21:27" ht="20.100000000000001" customHeight="1" x14ac:dyDescent="0.2">
      <c r="U875" s="2"/>
      <c r="V875" s="2"/>
      <c r="W875" s="2"/>
      <c r="X875" s="2"/>
      <c r="Y875" s="2"/>
      <c r="Z875" s="2"/>
      <c r="AA875" s="2"/>
    </row>
    <row r="876" spans="21:27" ht="20.100000000000001" customHeight="1" x14ac:dyDescent="0.2">
      <c r="U876" s="2"/>
      <c r="V876" s="2"/>
      <c r="W876" s="2"/>
      <c r="X876" s="2"/>
      <c r="Y876" s="2"/>
      <c r="Z876" s="2"/>
      <c r="AA876" s="2"/>
    </row>
    <row r="877" spans="21:27" ht="20.100000000000001" customHeight="1" x14ac:dyDescent="0.2">
      <c r="U877" s="2"/>
      <c r="V877" s="2"/>
      <c r="W877" s="2"/>
      <c r="X877" s="2"/>
      <c r="Y877" s="2"/>
      <c r="Z877" s="2"/>
      <c r="AA877" s="2"/>
    </row>
    <row r="878" spans="21:27" ht="20.100000000000001" customHeight="1" x14ac:dyDescent="0.2">
      <c r="U878" s="2"/>
      <c r="V878" s="2"/>
      <c r="W878" s="2"/>
      <c r="X878" s="2"/>
      <c r="Y878" s="2"/>
      <c r="Z878" s="2"/>
      <c r="AA878" s="2"/>
    </row>
    <row r="879" spans="21:27" ht="20.100000000000001" customHeight="1" x14ac:dyDescent="0.2">
      <c r="U879" s="2"/>
      <c r="V879" s="2"/>
      <c r="W879" s="2"/>
      <c r="X879" s="2"/>
      <c r="Y879" s="2"/>
      <c r="Z879" s="2"/>
      <c r="AA879" s="2"/>
    </row>
    <row r="880" spans="21:27" ht="20.100000000000001" customHeight="1" x14ac:dyDescent="0.2">
      <c r="U880" s="2"/>
      <c r="V880" s="2"/>
      <c r="W880" s="2"/>
      <c r="X880" s="2"/>
      <c r="Y880" s="2"/>
      <c r="Z880" s="2"/>
      <c r="AA880" s="2"/>
    </row>
    <row r="881" spans="21:27" ht="20.100000000000001" customHeight="1" x14ac:dyDescent="0.2">
      <c r="U881" s="2"/>
      <c r="V881" s="2"/>
      <c r="W881" s="2"/>
      <c r="X881" s="2"/>
      <c r="Y881" s="2"/>
      <c r="Z881" s="2"/>
      <c r="AA881" s="2"/>
    </row>
    <row r="882" spans="21:27" ht="20.100000000000001" customHeight="1" x14ac:dyDescent="0.2">
      <c r="U882" s="2"/>
      <c r="V882" s="2"/>
      <c r="W882" s="2"/>
      <c r="X882" s="2"/>
      <c r="Y882" s="2"/>
      <c r="Z882" s="2"/>
      <c r="AA882" s="2"/>
    </row>
    <row r="883" spans="21:27" ht="20.100000000000001" customHeight="1" x14ac:dyDescent="0.2">
      <c r="U883" s="2"/>
      <c r="V883" s="2"/>
      <c r="W883" s="2"/>
      <c r="X883" s="2"/>
      <c r="Y883" s="2"/>
      <c r="Z883" s="2"/>
      <c r="AA883" s="2"/>
    </row>
    <row r="884" spans="21:27" ht="20.100000000000001" customHeight="1" x14ac:dyDescent="0.2">
      <c r="U884" s="2"/>
      <c r="V884" s="2"/>
      <c r="W884" s="2"/>
      <c r="X884" s="2"/>
      <c r="Y884" s="2"/>
      <c r="Z884" s="2"/>
      <c r="AA884" s="2"/>
    </row>
    <row r="885" spans="21:27" ht="20.100000000000001" customHeight="1" x14ac:dyDescent="0.2">
      <c r="U885" s="2"/>
      <c r="V885" s="2"/>
      <c r="W885" s="2"/>
      <c r="X885" s="2"/>
      <c r="Y885" s="2"/>
      <c r="Z885" s="2"/>
      <c r="AA885" s="2"/>
    </row>
    <row r="886" spans="21:27" ht="20.100000000000001" customHeight="1" x14ac:dyDescent="0.2">
      <c r="U886" s="2"/>
      <c r="V886" s="2"/>
      <c r="W886" s="2"/>
      <c r="X886" s="2"/>
      <c r="Y886" s="2"/>
      <c r="Z886" s="2"/>
      <c r="AA886" s="2"/>
    </row>
    <row r="887" spans="21:27" ht="20.100000000000001" customHeight="1" x14ac:dyDescent="0.2">
      <c r="U887" s="2"/>
      <c r="V887" s="2"/>
      <c r="W887" s="2"/>
      <c r="X887" s="2"/>
      <c r="Y887" s="2"/>
      <c r="Z887" s="2"/>
      <c r="AA887" s="2"/>
    </row>
    <row r="888" spans="21:27" ht="20.100000000000001" customHeight="1" x14ac:dyDescent="0.2">
      <c r="U888" s="2"/>
      <c r="V888" s="2"/>
      <c r="W888" s="2"/>
      <c r="X888" s="2"/>
      <c r="Y888" s="2"/>
      <c r="Z888" s="2"/>
      <c r="AA888" s="2"/>
    </row>
    <row r="889" spans="21:27" ht="20.100000000000001" customHeight="1" x14ac:dyDescent="0.2">
      <c r="U889" s="2"/>
      <c r="V889" s="2"/>
      <c r="W889" s="2"/>
      <c r="X889" s="2"/>
      <c r="Y889" s="2"/>
      <c r="Z889" s="2"/>
      <c r="AA889" s="2"/>
    </row>
    <row r="890" spans="21:27" ht="20.100000000000001" customHeight="1" x14ac:dyDescent="0.2">
      <c r="U890" s="2"/>
      <c r="V890" s="2"/>
      <c r="W890" s="2"/>
      <c r="X890" s="2"/>
      <c r="Y890" s="2"/>
      <c r="Z890" s="2"/>
      <c r="AA890" s="2"/>
    </row>
    <row r="891" spans="21:27" ht="20.100000000000001" customHeight="1" x14ac:dyDescent="0.2">
      <c r="U891" s="2"/>
      <c r="V891" s="2"/>
      <c r="W891" s="2"/>
      <c r="X891" s="2"/>
      <c r="Y891" s="2"/>
      <c r="Z891" s="2"/>
      <c r="AA891" s="2"/>
    </row>
    <row r="892" spans="21:27" ht="20.100000000000001" customHeight="1" x14ac:dyDescent="0.2">
      <c r="U892" s="2"/>
      <c r="V892" s="2"/>
      <c r="W892" s="2"/>
      <c r="X892" s="2"/>
      <c r="Y892" s="2"/>
      <c r="Z892" s="2"/>
      <c r="AA892" s="2"/>
    </row>
    <row r="893" spans="21:27" ht="20.100000000000001" customHeight="1" x14ac:dyDescent="0.2">
      <c r="U893" s="2"/>
      <c r="V893" s="2"/>
      <c r="W893" s="2"/>
      <c r="X893" s="2"/>
      <c r="Y893" s="2"/>
      <c r="Z893" s="2"/>
      <c r="AA893" s="2"/>
    </row>
    <row r="894" spans="21:27" ht="20.100000000000001" customHeight="1" x14ac:dyDescent="0.2">
      <c r="U894" s="2"/>
      <c r="V894" s="2"/>
      <c r="W894" s="2"/>
      <c r="X894" s="2"/>
      <c r="Y894" s="2"/>
      <c r="Z894" s="2"/>
      <c r="AA894" s="2"/>
    </row>
    <row r="895" spans="21:27" ht="20.100000000000001" customHeight="1" x14ac:dyDescent="0.2">
      <c r="U895" s="2"/>
      <c r="V895" s="2"/>
      <c r="W895" s="2"/>
      <c r="X895" s="2"/>
      <c r="Y895" s="2"/>
      <c r="Z895" s="2"/>
      <c r="AA895" s="2"/>
    </row>
    <row r="896" spans="21:27" ht="20.100000000000001" customHeight="1" x14ac:dyDescent="0.2">
      <c r="U896" s="2"/>
      <c r="V896" s="2"/>
      <c r="W896" s="2"/>
      <c r="X896" s="2"/>
      <c r="Y896" s="2"/>
      <c r="Z896" s="2"/>
      <c r="AA896" s="2"/>
    </row>
    <row r="897" spans="21:27" ht="20.100000000000001" customHeight="1" x14ac:dyDescent="0.2">
      <c r="U897" s="2"/>
      <c r="V897" s="2"/>
      <c r="W897" s="2"/>
      <c r="X897" s="2"/>
      <c r="Y897" s="2"/>
      <c r="Z897" s="2"/>
      <c r="AA897" s="2"/>
    </row>
    <row r="898" spans="21:27" ht="20.100000000000001" customHeight="1" x14ac:dyDescent="0.2">
      <c r="U898" s="2"/>
      <c r="V898" s="2"/>
      <c r="W898" s="2"/>
      <c r="X898" s="2"/>
      <c r="Y898" s="2"/>
      <c r="Z898" s="2"/>
      <c r="AA898" s="2"/>
    </row>
    <row r="899" spans="21:27" ht="20.100000000000001" customHeight="1" x14ac:dyDescent="0.2">
      <c r="U899" s="2"/>
      <c r="V899" s="2"/>
      <c r="W899" s="2"/>
      <c r="X899" s="2"/>
      <c r="Y899" s="2"/>
      <c r="Z899" s="2"/>
      <c r="AA899" s="2"/>
    </row>
    <row r="900" spans="21:27" ht="20.100000000000001" customHeight="1" x14ac:dyDescent="0.2">
      <c r="U900" s="2"/>
      <c r="V900" s="2"/>
      <c r="W900" s="2"/>
      <c r="X900" s="2"/>
      <c r="Y900" s="2"/>
      <c r="Z900" s="2"/>
      <c r="AA900" s="2"/>
    </row>
    <row r="901" spans="21:27" ht="20.100000000000001" customHeight="1" x14ac:dyDescent="0.2">
      <c r="U901" s="2"/>
      <c r="V901" s="2"/>
      <c r="W901" s="2"/>
      <c r="X901" s="2"/>
      <c r="Y901" s="2"/>
      <c r="Z901" s="2"/>
      <c r="AA901" s="2"/>
    </row>
    <row r="902" spans="21:27" ht="20.100000000000001" customHeight="1" x14ac:dyDescent="0.2">
      <c r="U902" s="2"/>
      <c r="V902" s="2"/>
      <c r="W902" s="2"/>
      <c r="X902" s="2"/>
      <c r="Y902" s="2"/>
      <c r="Z902" s="2"/>
      <c r="AA902" s="2"/>
    </row>
    <row r="903" spans="21:27" ht="20.100000000000001" customHeight="1" x14ac:dyDescent="0.2">
      <c r="U903" s="2"/>
      <c r="V903" s="2"/>
      <c r="W903" s="2"/>
      <c r="X903" s="2"/>
      <c r="Y903" s="2"/>
      <c r="Z903" s="2"/>
      <c r="AA903" s="2"/>
    </row>
    <row r="904" spans="21:27" ht="20.100000000000001" customHeight="1" x14ac:dyDescent="0.2">
      <c r="U904" s="2"/>
      <c r="V904" s="2"/>
      <c r="W904" s="2"/>
      <c r="X904" s="2"/>
      <c r="Y904" s="2"/>
      <c r="Z904" s="2"/>
      <c r="AA904" s="2"/>
    </row>
    <row r="905" spans="21:27" ht="20.100000000000001" customHeight="1" x14ac:dyDescent="0.2">
      <c r="U905" s="2"/>
      <c r="V905" s="2"/>
      <c r="W905" s="2"/>
      <c r="X905" s="2"/>
      <c r="Y905" s="2"/>
      <c r="Z905" s="2"/>
      <c r="AA905" s="2"/>
    </row>
    <row r="906" spans="21:27" ht="20.100000000000001" customHeight="1" x14ac:dyDescent="0.2">
      <c r="U906" s="2"/>
      <c r="V906" s="2"/>
      <c r="W906" s="2"/>
      <c r="X906" s="2"/>
      <c r="Y906" s="2"/>
      <c r="Z906" s="2"/>
      <c r="AA906" s="2"/>
    </row>
    <row r="907" spans="21:27" ht="20.100000000000001" customHeight="1" x14ac:dyDescent="0.2">
      <c r="U907" s="2"/>
      <c r="V907" s="2"/>
      <c r="W907" s="2"/>
      <c r="X907" s="2"/>
      <c r="Y907" s="2"/>
      <c r="Z907" s="2"/>
      <c r="AA907" s="2"/>
    </row>
    <row r="908" spans="21:27" ht="20.100000000000001" customHeight="1" x14ac:dyDescent="0.2">
      <c r="U908" s="2"/>
      <c r="V908" s="2"/>
      <c r="W908" s="2"/>
      <c r="X908" s="2"/>
      <c r="Y908" s="2"/>
      <c r="Z908" s="2"/>
      <c r="AA908" s="2"/>
    </row>
    <row r="909" spans="21:27" ht="20.100000000000001" customHeight="1" x14ac:dyDescent="0.2">
      <c r="U909" s="2"/>
      <c r="V909" s="2"/>
      <c r="W909" s="2"/>
      <c r="X909" s="2"/>
      <c r="Y909" s="2"/>
      <c r="Z909" s="2"/>
      <c r="AA909" s="2"/>
    </row>
    <row r="910" spans="21:27" ht="20.100000000000001" customHeight="1" x14ac:dyDescent="0.2">
      <c r="U910" s="2"/>
      <c r="V910" s="2"/>
      <c r="W910" s="2"/>
      <c r="X910" s="2"/>
      <c r="Y910" s="2"/>
      <c r="Z910" s="2"/>
      <c r="AA910" s="2"/>
    </row>
    <row r="911" spans="21:27" ht="20.100000000000001" customHeight="1" x14ac:dyDescent="0.2">
      <c r="U911" s="2"/>
      <c r="V911" s="2"/>
      <c r="W911" s="2"/>
      <c r="X911" s="2"/>
      <c r="Y911" s="2"/>
      <c r="Z911" s="2"/>
      <c r="AA911" s="2"/>
    </row>
    <row r="912" spans="21:27" ht="20.100000000000001" customHeight="1" x14ac:dyDescent="0.2">
      <c r="U912" s="2"/>
      <c r="V912" s="2"/>
      <c r="W912" s="2"/>
      <c r="X912" s="2"/>
      <c r="Y912" s="2"/>
      <c r="Z912" s="2"/>
      <c r="AA912" s="2"/>
    </row>
    <row r="913" spans="21:27" ht="20.100000000000001" customHeight="1" x14ac:dyDescent="0.2">
      <c r="U913" s="2"/>
      <c r="V913" s="2"/>
      <c r="W913" s="2"/>
      <c r="X913" s="2"/>
      <c r="Y913" s="2"/>
      <c r="Z913" s="2"/>
      <c r="AA913" s="2"/>
    </row>
    <row r="914" spans="21:27" ht="20.100000000000001" customHeight="1" x14ac:dyDescent="0.2">
      <c r="U914" s="2"/>
      <c r="V914" s="2"/>
      <c r="W914" s="2"/>
      <c r="X914" s="2"/>
      <c r="Y914" s="2"/>
      <c r="Z914" s="2"/>
      <c r="AA914" s="2"/>
    </row>
    <row r="915" spans="21:27" ht="20.100000000000001" customHeight="1" x14ac:dyDescent="0.2">
      <c r="U915" s="2"/>
      <c r="V915" s="2"/>
      <c r="W915" s="2"/>
      <c r="X915" s="2"/>
      <c r="Y915" s="2"/>
      <c r="Z915" s="2"/>
      <c r="AA915" s="2"/>
    </row>
    <row r="916" spans="21:27" ht="20.100000000000001" customHeight="1" x14ac:dyDescent="0.2">
      <c r="U916" s="2"/>
      <c r="V916" s="2"/>
      <c r="W916" s="2"/>
      <c r="X916" s="2"/>
      <c r="Y916" s="2"/>
      <c r="Z916" s="2"/>
      <c r="AA916" s="2"/>
    </row>
    <row r="917" spans="21:27" ht="20.100000000000001" customHeight="1" x14ac:dyDescent="0.2">
      <c r="U917" s="2"/>
      <c r="V917" s="2"/>
      <c r="W917" s="2"/>
      <c r="X917" s="2"/>
      <c r="Y917" s="2"/>
      <c r="Z917" s="2"/>
      <c r="AA917" s="2"/>
    </row>
    <row r="918" spans="21:27" ht="20.100000000000001" customHeight="1" x14ac:dyDescent="0.2">
      <c r="U918" s="2"/>
      <c r="V918" s="2"/>
      <c r="W918" s="2"/>
      <c r="X918" s="2"/>
      <c r="Y918" s="2"/>
      <c r="Z918" s="2"/>
      <c r="AA918" s="2"/>
    </row>
    <row r="919" spans="21:27" ht="20.100000000000001" customHeight="1" x14ac:dyDescent="0.2">
      <c r="U919" s="2"/>
      <c r="V919" s="2"/>
      <c r="W919" s="2"/>
      <c r="X919" s="2"/>
      <c r="Y919" s="2"/>
      <c r="Z919" s="2"/>
      <c r="AA919" s="2"/>
    </row>
    <row r="920" spans="21:27" ht="20.100000000000001" customHeight="1" x14ac:dyDescent="0.2">
      <c r="U920" s="2"/>
      <c r="V920" s="2"/>
      <c r="W920" s="2"/>
      <c r="X920" s="2"/>
      <c r="Y920" s="2"/>
      <c r="Z920" s="2"/>
      <c r="AA920" s="2"/>
    </row>
    <row r="921" spans="21:27" ht="20.100000000000001" customHeight="1" x14ac:dyDescent="0.2">
      <c r="U921" s="2"/>
      <c r="V921" s="2"/>
      <c r="W921" s="2"/>
      <c r="X921" s="2"/>
      <c r="Y921" s="2"/>
      <c r="Z921" s="2"/>
      <c r="AA921" s="2"/>
    </row>
    <row r="922" spans="21:27" ht="20.100000000000001" customHeight="1" x14ac:dyDescent="0.2">
      <c r="U922" s="2"/>
      <c r="V922" s="2"/>
      <c r="W922" s="2"/>
      <c r="X922" s="2"/>
      <c r="Y922" s="2"/>
      <c r="Z922" s="2"/>
      <c r="AA922" s="2"/>
    </row>
    <row r="923" spans="21:27" ht="20.100000000000001" customHeight="1" x14ac:dyDescent="0.2">
      <c r="U923" s="2"/>
      <c r="V923" s="2"/>
      <c r="W923" s="2"/>
      <c r="X923" s="2"/>
      <c r="Y923" s="2"/>
      <c r="Z923" s="2"/>
      <c r="AA923" s="2"/>
    </row>
    <row r="924" spans="21:27" ht="20.100000000000001" customHeight="1" x14ac:dyDescent="0.2">
      <c r="U924" s="2"/>
      <c r="V924" s="2"/>
      <c r="W924" s="2"/>
      <c r="X924" s="2"/>
      <c r="Y924" s="2"/>
      <c r="Z924" s="2"/>
      <c r="AA924" s="2"/>
    </row>
    <row r="925" spans="21:27" ht="20.100000000000001" customHeight="1" x14ac:dyDescent="0.2">
      <c r="U925" s="2"/>
      <c r="V925" s="2"/>
      <c r="W925" s="2"/>
      <c r="X925" s="2"/>
      <c r="Y925" s="2"/>
      <c r="Z925" s="2"/>
      <c r="AA925" s="2"/>
    </row>
    <row r="926" spans="21:27" ht="20.100000000000001" customHeight="1" x14ac:dyDescent="0.2">
      <c r="U926" s="2"/>
      <c r="V926" s="2"/>
      <c r="W926" s="2"/>
      <c r="X926" s="2"/>
      <c r="Y926" s="2"/>
      <c r="Z926" s="2"/>
      <c r="AA926" s="2"/>
    </row>
    <row r="927" spans="21:27" ht="20.100000000000001" customHeight="1" x14ac:dyDescent="0.2">
      <c r="U927" s="2"/>
      <c r="V927" s="2"/>
      <c r="W927" s="2"/>
      <c r="X927" s="2"/>
      <c r="Y927" s="2"/>
      <c r="Z927" s="2"/>
      <c r="AA927" s="2"/>
    </row>
    <row r="928" spans="21:27" ht="20.100000000000001" customHeight="1" x14ac:dyDescent="0.2">
      <c r="U928" s="2"/>
      <c r="V928" s="2"/>
      <c r="W928" s="2"/>
      <c r="X928" s="2"/>
      <c r="Y928" s="2"/>
      <c r="Z928" s="2"/>
      <c r="AA928" s="2"/>
    </row>
    <row r="929" spans="21:27" ht="20.100000000000001" customHeight="1" x14ac:dyDescent="0.2">
      <c r="U929" s="2"/>
      <c r="V929" s="2"/>
      <c r="W929" s="2"/>
      <c r="X929" s="2"/>
      <c r="Y929" s="2"/>
      <c r="Z929" s="2"/>
      <c r="AA929" s="2"/>
    </row>
    <row r="930" spans="21:27" ht="20.100000000000001" customHeight="1" x14ac:dyDescent="0.2">
      <c r="U930" s="2"/>
      <c r="V930" s="2"/>
      <c r="W930" s="2"/>
      <c r="X930" s="2"/>
      <c r="Y930" s="2"/>
      <c r="Z930" s="2"/>
      <c r="AA930" s="2"/>
    </row>
    <row r="931" spans="21:27" ht="20.100000000000001" customHeight="1" x14ac:dyDescent="0.2">
      <c r="U931" s="2"/>
      <c r="V931" s="2"/>
      <c r="W931" s="2"/>
      <c r="X931" s="2"/>
      <c r="Y931" s="2"/>
      <c r="Z931" s="2"/>
      <c r="AA931" s="2"/>
    </row>
    <row r="932" spans="21:27" ht="20.100000000000001" customHeight="1" x14ac:dyDescent="0.2">
      <c r="U932" s="2"/>
      <c r="V932" s="2"/>
      <c r="W932" s="2"/>
      <c r="X932" s="2"/>
      <c r="Y932" s="2"/>
      <c r="Z932" s="2"/>
      <c r="AA932" s="2"/>
    </row>
    <row r="933" spans="21:27" ht="20.100000000000001" customHeight="1" x14ac:dyDescent="0.2">
      <c r="U933" s="2"/>
      <c r="V933" s="2"/>
      <c r="W933" s="2"/>
      <c r="X933" s="2"/>
      <c r="Y933" s="2"/>
      <c r="Z933" s="2"/>
      <c r="AA933" s="2"/>
    </row>
    <row r="934" spans="21:27" ht="20.100000000000001" customHeight="1" x14ac:dyDescent="0.2">
      <c r="U934" s="2"/>
      <c r="V934" s="2"/>
      <c r="W934" s="2"/>
      <c r="X934" s="2"/>
      <c r="Y934" s="2"/>
      <c r="Z934" s="2"/>
      <c r="AA934" s="2"/>
    </row>
    <row r="935" spans="21:27" ht="20.100000000000001" customHeight="1" x14ac:dyDescent="0.2">
      <c r="U935" s="2"/>
      <c r="V935" s="2"/>
      <c r="W935" s="2"/>
      <c r="X935" s="2"/>
      <c r="Y935" s="2"/>
      <c r="Z935" s="2"/>
      <c r="AA935" s="2"/>
    </row>
    <row r="936" spans="21:27" ht="20.100000000000001" customHeight="1" x14ac:dyDescent="0.2">
      <c r="U936" s="2"/>
      <c r="V936" s="2"/>
      <c r="W936" s="2"/>
      <c r="X936" s="2"/>
      <c r="Y936" s="2"/>
      <c r="Z936" s="2"/>
      <c r="AA936" s="2"/>
    </row>
    <row r="937" spans="21:27" ht="20.100000000000001" customHeight="1" x14ac:dyDescent="0.2">
      <c r="U937" s="2"/>
      <c r="V937" s="2"/>
      <c r="W937" s="2"/>
      <c r="X937" s="2"/>
      <c r="Y937" s="2"/>
      <c r="Z937" s="2"/>
      <c r="AA937" s="2"/>
    </row>
    <row r="938" spans="21:27" ht="20.100000000000001" customHeight="1" x14ac:dyDescent="0.2">
      <c r="U938" s="2"/>
      <c r="V938" s="2"/>
      <c r="W938" s="2"/>
      <c r="X938" s="2"/>
      <c r="Y938" s="2"/>
      <c r="Z938" s="2"/>
      <c r="AA938" s="2"/>
    </row>
    <row r="939" spans="21:27" ht="20.100000000000001" customHeight="1" x14ac:dyDescent="0.2">
      <c r="U939" s="2"/>
      <c r="V939" s="2"/>
      <c r="W939" s="2"/>
      <c r="X939" s="2"/>
      <c r="Y939" s="2"/>
      <c r="Z939" s="2"/>
      <c r="AA939" s="2"/>
    </row>
    <row r="940" spans="21:27" ht="20.100000000000001" customHeight="1" x14ac:dyDescent="0.2">
      <c r="U940" s="2"/>
      <c r="V940" s="2"/>
      <c r="W940" s="2"/>
      <c r="X940" s="2"/>
      <c r="Y940" s="2"/>
      <c r="Z940" s="2"/>
      <c r="AA940" s="2"/>
    </row>
    <row r="941" spans="21:27" ht="20.100000000000001" customHeight="1" x14ac:dyDescent="0.2">
      <c r="U941" s="2"/>
      <c r="V941" s="2"/>
      <c r="W941" s="2"/>
      <c r="X941" s="2"/>
      <c r="Y941" s="2"/>
      <c r="Z941" s="2"/>
      <c r="AA941" s="2"/>
    </row>
    <row r="942" spans="21:27" ht="20.100000000000001" customHeight="1" x14ac:dyDescent="0.2">
      <c r="U942" s="2"/>
      <c r="V942" s="2"/>
      <c r="W942" s="2"/>
      <c r="X942" s="2"/>
      <c r="Y942" s="2"/>
      <c r="Z942" s="2"/>
      <c r="AA942" s="2"/>
    </row>
    <row r="943" spans="21:27" ht="20.100000000000001" customHeight="1" x14ac:dyDescent="0.2">
      <c r="U943" s="2"/>
      <c r="V943" s="2"/>
      <c r="W943" s="2"/>
      <c r="X943" s="2"/>
      <c r="Y943" s="2"/>
      <c r="Z943" s="2"/>
      <c r="AA943" s="2"/>
    </row>
    <row r="944" spans="21:27" ht="20.100000000000001" customHeight="1" x14ac:dyDescent="0.2">
      <c r="U944" s="2"/>
      <c r="V944" s="2"/>
      <c r="W944" s="2"/>
      <c r="X944" s="2"/>
      <c r="Y944" s="2"/>
      <c r="Z944" s="2"/>
      <c r="AA944" s="2"/>
    </row>
    <row r="945" spans="21:27" ht="20.100000000000001" customHeight="1" x14ac:dyDescent="0.2">
      <c r="U945" s="2"/>
      <c r="V945" s="2"/>
      <c r="W945" s="2"/>
      <c r="X945" s="2"/>
      <c r="Y945" s="2"/>
      <c r="Z945" s="2"/>
      <c r="AA945" s="2"/>
    </row>
    <row r="946" spans="21:27" ht="20.100000000000001" customHeight="1" x14ac:dyDescent="0.2">
      <c r="U946" s="2"/>
      <c r="V946" s="2"/>
      <c r="W946" s="2"/>
      <c r="X946" s="2"/>
      <c r="Y946" s="2"/>
      <c r="Z946" s="2"/>
      <c r="AA946" s="2"/>
    </row>
    <row r="947" spans="21:27" ht="20.100000000000001" customHeight="1" x14ac:dyDescent="0.2">
      <c r="U947" s="2"/>
      <c r="V947" s="2"/>
      <c r="W947" s="2"/>
      <c r="X947" s="2"/>
      <c r="Y947" s="2"/>
      <c r="Z947" s="2"/>
      <c r="AA947" s="2"/>
    </row>
    <row r="948" spans="21:27" ht="20.100000000000001" customHeight="1" x14ac:dyDescent="0.2">
      <c r="U948" s="2"/>
      <c r="V948" s="2"/>
      <c r="W948" s="2"/>
      <c r="X948" s="2"/>
      <c r="Y948" s="2"/>
      <c r="Z948" s="2"/>
      <c r="AA948" s="2"/>
    </row>
    <row r="949" spans="21:27" ht="20.100000000000001" customHeight="1" x14ac:dyDescent="0.2">
      <c r="U949" s="2"/>
      <c r="V949" s="2"/>
      <c r="W949" s="2"/>
      <c r="X949" s="2"/>
      <c r="Y949" s="2"/>
      <c r="Z949" s="2"/>
      <c r="AA949" s="2"/>
    </row>
    <row r="950" spans="21:27" ht="20.100000000000001" customHeight="1" x14ac:dyDescent="0.2">
      <c r="U950" s="2"/>
      <c r="V950" s="2"/>
      <c r="W950" s="2"/>
      <c r="X950" s="2"/>
      <c r="Y950" s="2"/>
      <c r="Z950" s="2"/>
      <c r="AA950" s="2"/>
    </row>
    <row r="951" spans="21:27" ht="20.100000000000001" customHeight="1" x14ac:dyDescent="0.2">
      <c r="U951" s="2"/>
      <c r="V951" s="2"/>
      <c r="W951" s="2"/>
      <c r="X951" s="2"/>
      <c r="Y951" s="2"/>
      <c r="Z951" s="2"/>
      <c r="AA951" s="2"/>
    </row>
    <row r="952" spans="21:27" ht="20.100000000000001" customHeight="1" x14ac:dyDescent="0.2">
      <c r="U952" s="2"/>
      <c r="V952" s="2"/>
      <c r="W952" s="2"/>
      <c r="X952" s="2"/>
      <c r="Y952" s="2"/>
      <c r="Z952" s="2"/>
      <c r="AA952" s="2"/>
    </row>
    <row r="953" spans="21:27" ht="20.100000000000001" customHeight="1" x14ac:dyDescent="0.2">
      <c r="U953" s="2"/>
      <c r="V953" s="2"/>
      <c r="W953" s="2"/>
      <c r="X953" s="2"/>
      <c r="Y953" s="2"/>
      <c r="Z953" s="2"/>
      <c r="AA953" s="2"/>
    </row>
    <row r="954" spans="21:27" ht="20.100000000000001" customHeight="1" x14ac:dyDescent="0.2">
      <c r="U954" s="2"/>
      <c r="V954" s="2"/>
      <c r="W954" s="2"/>
      <c r="X954" s="2"/>
      <c r="Y954" s="2"/>
      <c r="Z954" s="2"/>
      <c r="AA954" s="2"/>
    </row>
    <row r="955" spans="21:27" ht="20.100000000000001" customHeight="1" x14ac:dyDescent="0.2">
      <c r="U955" s="2"/>
      <c r="V955" s="2"/>
      <c r="W955" s="2"/>
      <c r="X955" s="2"/>
      <c r="Y955" s="2"/>
      <c r="Z955" s="2"/>
      <c r="AA955" s="2"/>
    </row>
    <row r="956" spans="21:27" ht="20.100000000000001" customHeight="1" x14ac:dyDescent="0.2">
      <c r="U956" s="2"/>
      <c r="V956" s="2"/>
      <c r="W956" s="2"/>
      <c r="X956" s="2"/>
      <c r="Y956" s="2"/>
      <c r="Z956" s="2"/>
      <c r="AA956" s="2"/>
    </row>
    <row r="957" spans="21:27" ht="20.100000000000001" customHeight="1" x14ac:dyDescent="0.2">
      <c r="U957" s="2"/>
      <c r="V957" s="2"/>
      <c r="W957" s="2"/>
      <c r="X957" s="2"/>
      <c r="Y957" s="2"/>
      <c r="Z957" s="2"/>
      <c r="AA957" s="2"/>
    </row>
    <row r="958" spans="21:27" ht="20.100000000000001" customHeight="1" x14ac:dyDescent="0.2">
      <c r="U958" s="2"/>
      <c r="V958" s="2"/>
      <c r="W958" s="2"/>
      <c r="X958" s="2"/>
      <c r="Y958" s="2"/>
      <c r="Z958" s="2"/>
      <c r="AA958" s="2"/>
    </row>
    <row r="959" spans="21:27" ht="20.100000000000001" customHeight="1" x14ac:dyDescent="0.2">
      <c r="U959" s="2"/>
      <c r="V959" s="2"/>
      <c r="W959" s="2"/>
      <c r="X959" s="2"/>
      <c r="Y959" s="2"/>
      <c r="Z959" s="2"/>
      <c r="AA959" s="2"/>
    </row>
    <row r="960" spans="21:27" ht="20.100000000000001" customHeight="1" x14ac:dyDescent="0.2">
      <c r="U960" s="2"/>
      <c r="V960" s="2"/>
      <c r="W960" s="2"/>
      <c r="X960" s="2"/>
      <c r="Y960" s="2"/>
      <c r="Z960" s="2"/>
      <c r="AA960" s="2"/>
    </row>
    <row r="961" spans="21:27" ht="20.100000000000001" customHeight="1" x14ac:dyDescent="0.2">
      <c r="U961" s="2"/>
      <c r="V961" s="2"/>
      <c r="W961" s="2"/>
      <c r="X961" s="2"/>
      <c r="Y961" s="2"/>
      <c r="Z961" s="2"/>
      <c r="AA961" s="2"/>
    </row>
    <row r="962" spans="21:27" ht="20.100000000000001" customHeight="1" x14ac:dyDescent="0.2">
      <c r="U962" s="2"/>
      <c r="V962" s="2"/>
      <c r="W962" s="2"/>
      <c r="X962" s="2"/>
      <c r="Y962" s="2"/>
      <c r="Z962" s="2"/>
      <c r="AA962" s="2"/>
    </row>
    <row r="963" spans="21:27" ht="20.100000000000001" customHeight="1" x14ac:dyDescent="0.2">
      <c r="U963" s="2"/>
      <c r="V963" s="2"/>
      <c r="W963" s="2"/>
      <c r="X963" s="2"/>
      <c r="Y963" s="2"/>
      <c r="Z963" s="2"/>
      <c r="AA963" s="2"/>
    </row>
    <row r="964" spans="21:27" ht="20.100000000000001" customHeight="1" x14ac:dyDescent="0.2">
      <c r="U964" s="2"/>
      <c r="V964" s="2"/>
      <c r="W964" s="2"/>
      <c r="X964" s="2"/>
      <c r="Y964" s="2"/>
      <c r="Z964" s="2"/>
      <c r="AA964" s="2"/>
    </row>
    <row r="965" spans="21:27" ht="20.100000000000001" customHeight="1" x14ac:dyDescent="0.2">
      <c r="U965" s="2"/>
      <c r="V965" s="2"/>
      <c r="W965" s="2"/>
      <c r="X965" s="2"/>
      <c r="Y965" s="2"/>
      <c r="Z965" s="2"/>
      <c r="AA965" s="2"/>
    </row>
    <row r="966" spans="21:27" ht="20.100000000000001" customHeight="1" x14ac:dyDescent="0.2">
      <c r="U966" s="2"/>
      <c r="V966" s="2"/>
      <c r="W966" s="2"/>
      <c r="X966" s="2"/>
      <c r="Y966" s="2"/>
      <c r="Z966" s="2"/>
      <c r="AA966" s="2"/>
    </row>
    <row r="967" spans="21:27" ht="20.100000000000001" customHeight="1" x14ac:dyDescent="0.2">
      <c r="U967" s="2"/>
      <c r="V967" s="2"/>
      <c r="W967" s="2"/>
      <c r="X967" s="2"/>
      <c r="Y967" s="2"/>
      <c r="Z967" s="2"/>
      <c r="AA967" s="2"/>
    </row>
    <row r="968" spans="21:27" ht="20.100000000000001" customHeight="1" x14ac:dyDescent="0.2">
      <c r="U968" s="2"/>
      <c r="V968" s="2"/>
      <c r="W968" s="2"/>
      <c r="X968" s="2"/>
      <c r="Y968" s="2"/>
      <c r="Z968" s="2"/>
      <c r="AA968" s="2"/>
    </row>
    <row r="969" spans="21:27" ht="20.100000000000001" customHeight="1" x14ac:dyDescent="0.2">
      <c r="U969" s="2"/>
      <c r="V969" s="2"/>
      <c r="W969" s="2"/>
      <c r="X969" s="2"/>
      <c r="Y969" s="2"/>
      <c r="Z969" s="2"/>
      <c r="AA969" s="2"/>
    </row>
    <row r="970" spans="21:27" ht="20.100000000000001" customHeight="1" x14ac:dyDescent="0.2">
      <c r="U970" s="2"/>
      <c r="V970" s="2"/>
      <c r="W970" s="2"/>
      <c r="X970" s="2"/>
      <c r="Y970" s="2"/>
      <c r="Z970" s="2"/>
      <c r="AA970" s="2"/>
    </row>
    <row r="971" spans="21:27" ht="20.100000000000001" customHeight="1" x14ac:dyDescent="0.2">
      <c r="U971" s="2"/>
      <c r="V971" s="2"/>
      <c r="W971" s="2"/>
      <c r="X971" s="2"/>
      <c r="Y971" s="2"/>
      <c r="Z971" s="2"/>
      <c r="AA971" s="2"/>
    </row>
    <row r="972" spans="21:27" ht="20.100000000000001" customHeight="1" x14ac:dyDescent="0.2">
      <c r="U972" s="2"/>
      <c r="V972" s="2"/>
      <c r="W972" s="2"/>
      <c r="X972" s="2"/>
      <c r="Y972" s="2"/>
      <c r="Z972" s="2"/>
      <c r="AA972" s="2"/>
    </row>
    <row r="973" spans="21:27" ht="20.100000000000001" customHeight="1" x14ac:dyDescent="0.2">
      <c r="U973" s="2"/>
      <c r="V973" s="2"/>
      <c r="W973" s="2"/>
      <c r="X973" s="2"/>
      <c r="Y973" s="2"/>
      <c r="Z973" s="2"/>
      <c r="AA973" s="2"/>
    </row>
    <row r="974" spans="21:27" ht="20.100000000000001" customHeight="1" x14ac:dyDescent="0.2">
      <c r="U974" s="2"/>
      <c r="V974" s="2"/>
      <c r="W974" s="2"/>
      <c r="X974" s="2"/>
      <c r="Y974" s="2"/>
      <c r="Z974" s="2"/>
      <c r="AA974" s="2"/>
    </row>
    <row r="975" spans="21:27" ht="20.100000000000001" customHeight="1" x14ac:dyDescent="0.2">
      <c r="U975" s="2"/>
      <c r="V975" s="2"/>
      <c r="W975" s="2"/>
      <c r="X975" s="2"/>
      <c r="Y975" s="2"/>
      <c r="Z975" s="2"/>
      <c r="AA975" s="2"/>
    </row>
    <row r="976" spans="21:27" ht="20.100000000000001" customHeight="1" x14ac:dyDescent="0.2">
      <c r="U976" s="2"/>
      <c r="V976" s="2"/>
      <c r="W976" s="2"/>
      <c r="X976" s="2"/>
      <c r="Y976" s="2"/>
      <c r="Z976" s="2"/>
      <c r="AA976" s="2"/>
    </row>
    <row r="977" spans="21:27" ht="20.100000000000001" customHeight="1" x14ac:dyDescent="0.2">
      <c r="U977" s="2"/>
      <c r="V977" s="2"/>
      <c r="W977" s="2"/>
      <c r="X977" s="2"/>
      <c r="Y977" s="2"/>
      <c r="Z977" s="2"/>
      <c r="AA977" s="2"/>
    </row>
    <row r="978" spans="21:27" ht="20.100000000000001" customHeight="1" x14ac:dyDescent="0.2">
      <c r="U978" s="2"/>
      <c r="V978" s="2"/>
      <c r="W978" s="2"/>
      <c r="X978" s="2"/>
      <c r="Y978" s="2"/>
      <c r="Z978" s="2"/>
      <c r="AA978" s="2"/>
    </row>
    <row r="979" spans="21:27" ht="20.100000000000001" customHeight="1" x14ac:dyDescent="0.2">
      <c r="U979" s="2"/>
      <c r="V979" s="2"/>
      <c r="W979" s="2"/>
      <c r="X979" s="2"/>
      <c r="Y979" s="2"/>
      <c r="Z979" s="2"/>
      <c r="AA979" s="2"/>
    </row>
    <row r="980" spans="21:27" ht="20.100000000000001" customHeight="1" x14ac:dyDescent="0.2">
      <c r="U980" s="2"/>
      <c r="V980" s="2"/>
      <c r="W980" s="2"/>
      <c r="X980" s="2"/>
      <c r="Y980" s="2"/>
      <c r="Z980" s="2"/>
      <c r="AA980" s="2"/>
    </row>
    <row r="981" spans="21:27" ht="20.100000000000001" customHeight="1" x14ac:dyDescent="0.2">
      <c r="U981" s="2"/>
      <c r="V981" s="2"/>
      <c r="W981" s="2"/>
      <c r="X981" s="2"/>
      <c r="Y981" s="2"/>
      <c r="Z981" s="2"/>
      <c r="AA981" s="2"/>
    </row>
    <row r="982" spans="21:27" ht="20.100000000000001" customHeight="1" x14ac:dyDescent="0.2">
      <c r="U982" s="2"/>
      <c r="V982" s="2"/>
      <c r="W982" s="2"/>
      <c r="X982" s="2"/>
      <c r="Y982" s="2"/>
      <c r="Z982" s="2"/>
      <c r="AA982" s="2"/>
    </row>
    <row r="983" spans="21:27" ht="20.100000000000001" customHeight="1" x14ac:dyDescent="0.2">
      <c r="U983" s="2"/>
      <c r="V983" s="2"/>
      <c r="W983" s="2"/>
      <c r="X983" s="2"/>
      <c r="Y983" s="2"/>
      <c r="Z983" s="2"/>
      <c r="AA983" s="2"/>
    </row>
    <row r="984" spans="21:27" ht="20.100000000000001" customHeight="1" x14ac:dyDescent="0.2">
      <c r="U984" s="2"/>
      <c r="V984" s="2"/>
      <c r="W984" s="2"/>
      <c r="X984" s="2"/>
      <c r="Y984" s="2"/>
      <c r="Z984" s="2"/>
      <c r="AA984" s="2"/>
    </row>
    <row r="985" spans="21:27" ht="20.100000000000001" customHeight="1" x14ac:dyDescent="0.2">
      <c r="U985" s="2"/>
      <c r="V985" s="2"/>
      <c r="W985" s="2"/>
      <c r="X985" s="2"/>
      <c r="Y985" s="2"/>
      <c r="Z985" s="2"/>
      <c r="AA985" s="2"/>
    </row>
    <row r="986" spans="21:27" ht="20.100000000000001" customHeight="1" x14ac:dyDescent="0.2">
      <c r="U986" s="2"/>
      <c r="V986" s="2"/>
      <c r="W986" s="2"/>
      <c r="X986" s="2"/>
      <c r="Y986" s="2"/>
      <c r="Z986" s="2"/>
      <c r="AA986" s="2"/>
    </row>
    <row r="987" spans="21:27" ht="20.100000000000001" customHeight="1" x14ac:dyDescent="0.2">
      <c r="U987" s="2"/>
      <c r="V987" s="2"/>
      <c r="W987" s="2"/>
      <c r="X987" s="2"/>
      <c r="Y987" s="2"/>
      <c r="Z987" s="2"/>
      <c r="AA987" s="2"/>
    </row>
    <row r="988" spans="21:27" ht="20.100000000000001" customHeight="1" x14ac:dyDescent="0.2">
      <c r="U988" s="2"/>
      <c r="V988" s="2"/>
      <c r="W988" s="2"/>
      <c r="X988" s="2"/>
      <c r="Y988" s="2"/>
      <c r="Z988" s="2"/>
      <c r="AA988" s="2"/>
    </row>
    <row r="989" spans="21:27" ht="20.100000000000001" customHeight="1" x14ac:dyDescent="0.2">
      <c r="U989" s="2"/>
      <c r="V989" s="2"/>
      <c r="W989" s="2"/>
      <c r="X989" s="2"/>
      <c r="Y989" s="2"/>
      <c r="Z989" s="2"/>
      <c r="AA989" s="2"/>
    </row>
    <row r="990" spans="21:27" ht="20.100000000000001" customHeight="1" x14ac:dyDescent="0.2">
      <c r="U990" s="2"/>
      <c r="V990" s="2"/>
      <c r="W990" s="2"/>
      <c r="X990" s="2"/>
      <c r="Y990" s="2"/>
      <c r="Z990" s="2"/>
      <c r="AA990" s="2"/>
    </row>
    <row r="991" spans="21:27" ht="20.100000000000001" customHeight="1" x14ac:dyDescent="0.2">
      <c r="U991" s="2"/>
      <c r="V991" s="2"/>
      <c r="W991" s="2"/>
      <c r="X991" s="2"/>
      <c r="Y991" s="2"/>
      <c r="Z991" s="2"/>
      <c r="AA991" s="2"/>
    </row>
    <row r="992" spans="21:27" ht="20.100000000000001" customHeight="1" x14ac:dyDescent="0.2">
      <c r="U992" s="2"/>
      <c r="V992" s="2"/>
      <c r="W992" s="2"/>
      <c r="X992" s="2"/>
      <c r="Y992" s="2"/>
      <c r="Z992" s="2"/>
      <c r="AA992" s="2"/>
    </row>
    <row r="993" spans="21:27" ht="20.100000000000001" customHeight="1" x14ac:dyDescent="0.2">
      <c r="U993" s="2"/>
      <c r="V993" s="2"/>
      <c r="W993" s="2"/>
      <c r="X993" s="2"/>
      <c r="Y993" s="2"/>
      <c r="Z993" s="2"/>
      <c r="AA993" s="2"/>
    </row>
    <row r="994" spans="21:27" ht="20.100000000000001" customHeight="1" x14ac:dyDescent="0.2">
      <c r="U994" s="2"/>
      <c r="V994" s="2"/>
      <c r="W994" s="2"/>
      <c r="X994" s="2"/>
      <c r="Y994" s="2"/>
      <c r="Z994" s="2"/>
      <c r="AA994" s="2"/>
    </row>
    <row r="995" spans="21:27" ht="20.100000000000001" customHeight="1" x14ac:dyDescent="0.2">
      <c r="U995" s="2"/>
      <c r="V995" s="2"/>
      <c r="W995" s="2"/>
      <c r="X995" s="2"/>
      <c r="Y995" s="2"/>
      <c r="Z995" s="2"/>
      <c r="AA995" s="2"/>
    </row>
    <row r="996" spans="21:27" ht="20.100000000000001" customHeight="1" x14ac:dyDescent="0.2">
      <c r="U996" s="2"/>
      <c r="V996" s="2"/>
      <c r="W996" s="2"/>
      <c r="X996" s="2"/>
      <c r="Y996" s="2"/>
      <c r="Z996" s="2"/>
      <c r="AA996" s="2"/>
    </row>
    <row r="997" spans="21:27" ht="20.100000000000001" customHeight="1" x14ac:dyDescent="0.2">
      <c r="U997" s="2"/>
      <c r="V997" s="2"/>
      <c r="W997" s="2"/>
      <c r="X997" s="2"/>
      <c r="Y997" s="2"/>
      <c r="Z997" s="2"/>
      <c r="AA997" s="2"/>
    </row>
    <row r="998" spans="21:27" ht="20.100000000000001" customHeight="1" x14ac:dyDescent="0.2">
      <c r="U998" s="2"/>
      <c r="V998" s="2"/>
      <c r="W998" s="2"/>
      <c r="X998" s="2"/>
      <c r="Y998" s="2"/>
      <c r="Z998" s="2"/>
      <c r="AA998" s="2"/>
    </row>
    <row r="999" spans="21:27" ht="20.100000000000001" customHeight="1" x14ac:dyDescent="0.2">
      <c r="U999" s="2"/>
      <c r="V999" s="2"/>
      <c r="W999" s="2"/>
      <c r="X999" s="2"/>
      <c r="Y999" s="2"/>
      <c r="Z999" s="2"/>
      <c r="AA999" s="2"/>
    </row>
    <row r="1000" spans="21:27" ht="20.100000000000001" customHeight="1" x14ac:dyDescent="0.2">
      <c r="U1000" s="2"/>
      <c r="V1000" s="2"/>
      <c r="W1000" s="2"/>
      <c r="X1000" s="2"/>
      <c r="Y1000" s="2"/>
      <c r="Z1000" s="2"/>
      <c r="AA1000" s="2"/>
    </row>
    <row r="1001" spans="21:27" ht="20.100000000000001" customHeight="1" x14ac:dyDescent="0.2">
      <c r="U1001" s="2"/>
      <c r="V1001" s="2"/>
      <c r="W1001" s="2"/>
      <c r="X1001" s="2"/>
      <c r="Y1001" s="2"/>
      <c r="Z1001" s="2"/>
      <c r="AA1001" s="2"/>
    </row>
    <row r="1002" spans="21:27" ht="20.100000000000001" customHeight="1" x14ac:dyDescent="0.2">
      <c r="U1002" s="2"/>
      <c r="V1002" s="2"/>
      <c r="W1002" s="2"/>
      <c r="X1002" s="2"/>
      <c r="Y1002" s="2"/>
      <c r="Z1002" s="2"/>
      <c r="AA1002" s="2"/>
    </row>
    <row r="1003" spans="21:27" ht="20.100000000000001" customHeight="1" x14ac:dyDescent="0.2">
      <c r="U1003" s="2"/>
      <c r="V1003" s="2"/>
      <c r="W1003" s="2"/>
      <c r="X1003" s="2"/>
      <c r="Y1003" s="2"/>
      <c r="Z1003" s="2"/>
      <c r="AA1003" s="2"/>
    </row>
    <row r="1004" spans="21:27" ht="20.100000000000001" customHeight="1" x14ac:dyDescent="0.2">
      <c r="U1004" s="2"/>
      <c r="V1004" s="2"/>
      <c r="W1004" s="2"/>
      <c r="X1004" s="2"/>
      <c r="Y1004" s="2"/>
      <c r="Z1004" s="2"/>
      <c r="AA1004" s="2"/>
    </row>
    <row r="1005" spans="21:27" ht="20.100000000000001" customHeight="1" x14ac:dyDescent="0.2">
      <c r="U1005" s="2"/>
      <c r="V1005" s="2"/>
      <c r="W1005" s="2"/>
      <c r="X1005" s="2"/>
      <c r="Y1005" s="2"/>
      <c r="Z1005" s="2"/>
      <c r="AA1005" s="2"/>
    </row>
    <row r="1006" spans="21:27" ht="20.100000000000001" customHeight="1" x14ac:dyDescent="0.2">
      <c r="U1006" s="2"/>
      <c r="V1006" s="2"/>
      <c r="W1006" s="2"/>
      <c r="X1006" s="2"/>
      <c r="Y1006" s="2"/>
      <c r="Z1006" s="2"/>
      <c r="AA1006" s="2"/>
    </row>
    <row r="1007" spans="21:27" ht="20.100000000000001" customHeight="1" x14ac:dyDescent="0.2">
      <c r="U1007" s="2"/>
      <c r="V1007" s="2"/>
      <c r="W1007" s="2"/>
      <c r="X1007" s="2"/>
      <c r="Y1007" s="2"/>
      <c r="Z1007" s="2"/>
      <c r="AA1007" s="2"/>
    </row>
    <row r="1008" spans="21:27" ht="20.100000000000001" customHeight="1" x14ac:dyDescent="0.2">
      <c r="U1008" s="2"/>
      <c r="V1008" s="2"/>
      <c r="W1008" s="2"/>
      <c r="X1008" s="2"/>
      <c r="Y1008" s="2"/>
      <c r="Z1008" s="2"/>
      <c r="AA1008" s="2"/>
    </row>
    <row r="1009" spans="21:27" ht="20.100000000000001" customHeight="1" x14ac:dyDescent="0.2">
      <c r="U1009" s="2"/>
      <c r="V1009" s="2"/>
      <c r="W1009" s="2"/>
      <c r="X1009" s="2"/>
      <c r="Y1009" s="2"/>
      <c r="Z1009" s="2"/>
      <c r="AA1009" s="2"/>
    </row>
    <row r="1010" spans="21:27" ht="20.100000000000001" customHeight="1" x14ac:dyDescent="0.2">
      <c r="U1010" s="2"/>
      <c r="V1010" s="2"/>
      <c r="W1010" s="2"/>
      <c r="X1010" s="2"/>
      <c r="Y1010" s="2"/>
      <c r="Z1010" s="2"/>
      <c r="AA1010" s="2"/>
    </row>
    <row r="1011" spans="21:27" ht="20.100000000000001" customHeight="1" x14ac:dyDescent="0.2">
      <c r="U1011" s="2"/>
      <c r="V1011" s="2"/>
      <c r="W1011" s="2"/>
      <c r="X1011" s="2"/>
      <c r="Y1011" s="2"/>
      <c r="Z1011" s="2"/>
      <c r="AA1011" s="2"/>
    </row>
    <row r="1012" spans="21:27" ht="20.100000000000001" customHeight="1" x14ac:dyDescent="0.2">
      <c r="U1012" s="2"/>
      <c r="V1012" s="2"/>
      <c r="W1012" s="2"/>
      <c r="X1012" s="2"/>
      <c r="Y1012" s="2"/>
      <c r="Z1012" s="2"/>
      <c r="AA1012" s="2"/>
    </row>
    <row r="1013" spans="21:27" ht="20.100000000000001" customHeight="1" x14ac:dyDescent="0.2">
      <c r="U1013" s="2"/>
      <c r="V1013" s="2"/>
      <c r="W1013" s="2"/>
      <c r="X1013" s="2"/>
      <c r="Y1013" s="2"/>
      <c r="Z1013" s="2"/>
      <c r="AA1013" s="2"/>
    </row>
    <row r="1014" spans="21:27" ht="20.100000000000001" customHeight="1" x14ac:dyDescent="0.2">
      <c r="U1014" s="2"/>
      <c r="V1014" s="2"/>
      <c r="W1014" s="2"/>
      <c r="X1014" s="2"/>
      <c r="Y1014" s="2"/>
      <c r="Z1014" s="2"/>
      <c r="AA1014" s="2"/>
    </row>
    <row r="1015" spans="21:27" ht="20.100000000000001" customHeight="1" x14ac:dyDescent="0.2">
      <c r="U1015" s="2"/>
      <c r="V1015" s="2"/>
      <c r="W1015" s="2"/>
      <c r="X1015" s="2"/>
      <c r="Y1015" s="2"/>
      <c r="Z1015" s="2"/>
      <c r="AA1015" s="2"/>
    </row>
    <row r="1016" spans="21:27" ht="20.100000000000001" customHeight="1" x14ac:dyDescent="0.2">
      <c r="U1016" s="2"/>
      <c r="V1016" s="2"/>
      <c r="W1016" s="2"/>
      <c r="X1016" s="2"/>
      <c r="Y1016" s="2"/>
      <c r="Z1016" s="2"/>
      <c r="AA1016" s="2"/>
    </row>
    <row r="1017" spans="21:27" ht="20.100000000000001" customHeight="1" x14ac:dyDescent="0.2">
      <c r="U1017" s="2"/>
      <c r="V1017" s="2"/>
      <c r="W1017" s="2"/>
      <c r="X1017" s="2"/>
      <c r="Y1017" s="2"/>
      <c r="Z1017" s="2"/>
      <c r="AA1017" s="2"/>
    </row>
    <row r="1018" spans="21:27" ht="20.100000000000001" customHeight="1" x14ac:dyDescent="0.2">
      <c r="U1018" s="2"/>
      <c r="V1018" s="2"/>
      <c r="W1018" s="2"/>
      <c r="X1018" s="2"/>
      <c r="Y1018" s="2"/>
      <c r="Z1018" s="2"/>
      <c r="AA1018" s="2"/>
    </row>
    <row r="1019" spans="21:27" ht="20.100000000000001" customHeight="1" x14ac:dyDescent="0.2">
      <c r="U1019" s="2"/>
      <c r="V1019" s="2"/>
      <c r="W1019" s="2"/>
      <c r="X1019" s="2"/>
      <c r="Y1019" s="2"/>
      <c r="Z1019" s="2"/>
      <c r="AA1019" s="2"/>
    </row>
    <row r="1020" spans="21:27" ht="20.100000000000001" customHeight="1" x14ac:dyDescent="0.2">
      <c r="U1020" s="2"/>
      <c r="V1020" s="2"/>
      <c r="W1020" s="2"/>
      <c r="X1020" s="2"/>
      <c r="Y1020" s="2"/>
      <c r="Z1020" s="2"/>
      <c r="AA1020" s="2"/>
    </row>
    <row r="1021" spans="21:27" ht="20.100000000000001" customHeight="1" x14ac:dyDescent="0.2">
      <c r="U1021" s="2"/>
      <c r="V1021" s="2"/>
      <c r="W1021" s="2"/>
      <c r="X1021" s="2"/>
      <c r="Y1021" s="2"/>
      <c r="Z1021" s="2"/>
      <c r="AA1021" s="2"/>
    </row>
    <row r="1022" spans="21:27" ht="20.100000000000001" customHeight="1" x14ac:dyDescent="0.2">
      <c r="U1022" s="2"/>
      <c r="V1022" s="2"/>
      <c r="W1022" s="2"/>
      <c r="X1022" s="2"/>
      <c r="Y1022" s="2"/>
      <c r="Z1022" s="2"/>
      <c r="AA1022" s="2"/>
    </row>
    <row r="1023" spans="21:27" ht="20.100000000000001" customHeight="1" x14ac:dyDescent="0.2">
      <c r="U1023" s="2"/>
      <c r="V1023" s="2"/>
      <c r="W1023" s="2"/>
      <c r="X1023" s="2"/>
      <c r="Y1023" s="2"/>
      <c r="Z1023" s="2"/>
      <c r="AA1023" s="2"/>
    </row>
    <row r="1024" spans="21:27" ht="20.100000000000001" customHeight="1" x14ac:dyDescent="0.2">
      <c r="U1024" s="2"/>
      <c r="V1024" s="2"/>
      <c r="W1024" s="2"/>
      <c r="X1024" s="2"/>
      <c r="Y1024" s="2"/>
      <c r="Z1024" s="2"/>
      <c r="AA1024" s="2"/>
    </row>
    <row r="1025" spans="21:27" ht="20.100000000000001" customHeight="1" x14ac:dyDescent="0.2">
      <c r="U1025" s="2"/>
      <c r="V1025" s="2"/>
      <c r="W1025" s="2"/>
      <c r="X1025" s="2"/>
      <c r="Y1025" s="2"/>
      <c r="Z1025" s="2"/>
      <c r="AA1025" s="2"/>
    </row>
    <row r="1026" spans="21:27" ht="20.100000000000001" customHeight="1" x14ac:dyDescent="0.2">
      <c r="U1026" s="2"/>
      <c r="V1026" s="2"/>
      <c r="W1026" s="2"/>
      <c r="X1026" s="2"/>
      <c r="Y1026" s="2"/>
      <c r="Z1026" s="2"/>
      <c r="AA1026" s="2"/>
    </row>
    <row r="1027" spans="21:27" ht="20.100000000000001" customHeight="1" x14ac:dyDescent="0.2">
      <c r="U1027" s="2"/>
      <c r="V1027" s="2"/>
      <c r="W1027" s="2"/>
      <c r="X1027" s="2"/>
      <c r="Y1027" s="2"/>
      <c r="Z1027" s="2"/>
      <c r="AA1027" s="2"/>
    </row>
    <row r="1028" spans="21:27" ht="20.100000000000001" customHeight="1" x14ac:dyDescent="0.2">
      <c r="U1028" s="2"/>
      <c r="V1028" s="2"/>
      <c r="W1028" s="2"/>
      <c r="X1028" s="2"/>
      <c r="Y1028" s="2"/>
      <c r="Z1028" s="2"/>
      <c r="AA1028" s="2"/>
    </row>
    <row r="1029" spans="21:27" ht="20.100000000000001" customHeight="1" x14ac:dyDescent="0.2">
      <c r="U1029" s="2"/>
      <c r="V1029" s="2"/>
      <c r="W1029" s="2"/>
      <c r="X1029" s="2"/>
      <c r="Y1029" s="2"/>
      <c r="Z1029" s="2"/>
      <c r="AA1029" s="2"/>
    </row>
    <row r="1030" spans="21:27" ht="20.100000000000001" customHeight="1" x14ac:dyDescent="0.2">
      <c r="U1030" s="2"/>
      <c r="V1030" s="2"/>
      <c r="W1030" s="2"/>
      <c r="X1030" s="2"/>
      <c r="Y1030" s="2"/>
      <c r="Z1030" s="2"/>
      <c r="AA1030" s="2"/>
    </row>
    <row r="1031" spans="21:27" ht="20.100000000000001" customHeight="1" x14ac:dyDescent="0.2">
      <c r="U1031" s="2"/>
      <c r="V1031" s="2"/>
      <c r="W1031" s="2"/>
      <c r="X1031" s="2"/>
      <c r="Y1031" s="2"/>
      <c r="Z1031" s="2"/>
      <c r="AA1031" s="2"/>
    </row>
    <row r="1032" spans="21:27" ht="20.100000000000001" customHeight="1" x14ac:dyDescent="0.2">
      <c r="U1032" s="2"/>
      <c r="V1032" s="2"/>
      <c r="W1032" s="2"/>
      <c r="X1032" s="2"/>
      <c r="Y1032" s="2"/>
      <c r="Z1032" s="2"/>
      <c r="AA1032" s="2"/>
    </row>
    <row r="1033" spans="21:27" ht="20.100000000000001" customHeight="1" x14ac:dyDescent="0.2">
      <c r="U1033" s="2"/>
      <c r="V1033" s="2"/>
      <c r="W1033" s="2"/>
      <c r="X1033" s="2"/>
      <c r="Y1033" s="2"/>
      <c r="Z1033" s="2"/>
      <c r="AA1033" s="2"/>
    </row>
    <row r="1034" spans="21:27" ht="20.100000000000001" customHeight="1" x14ac:dyDescent="0.2">
      <c r="U1034" s="2"/>
      <c r="V1034" s="2"/>
      <c r="W1034" s="2"/>
      <c r="X1034" s="2"/>
      <c r="Y1034" s="2"/>
      <c r="Z1034" s="2"/>
      <c r="AA1034" s="2"/>
    </row>
    <row r="1035" spans="21:27" ht="20.100000000000001" customHeight="1" x14ac:dyDescent="0.2">
      <c r="U1035" s="2"/>
      <c r="V1035" s="2"/>
      <c r="W1035" s="2"/>
      <c r="X1035" s="2"/>
      <c r="Y1035" s="2"/>
      <c r="Z1035" s="2"/>
      <c r="AA1035" s="2"/>
    </row>
    <row r="1036" spans="21:27" ht="20.100000000000001" customHeight="1" x14ac:dyDescent="0.2">
      <c r="U1036" s="2"/>
      <c r="V1036" s="2"/>
      <c r="W1036" s="2"/>
      <c r="X1036" s="2"/>
      <c r="Y1036" s="2"/>
      <c r="Z1036" s="2"/>
      <c r="AA1036" s="2"/>
    </row>
    <row r="1037" spans="21:27" ht="20.100000000000001" customHeight="1" x14ac:dyDescent="0.2">
      <c r="U1037" s="2"/>
      <c r="V1037" s="2"/>
      <c r="W1037" s="2"/>
      <c r="X1037" s="2"/>
      <c r="Y1037" s="2"/>
      <c r="Z1037" s="2"/>
      <c r="AA1037" s="2"/>
    </row>
    <row r="1038" spans="21:27" ht="20.100000000000001" customHeight="1" x14ac:dyDescent="0.2">
      <c r="U1038" s="2"/>
      <c r="V1038" s="2"/>
      <c r="W1038" s="2"/>
      <c r="X1038" s="2"/>
      <c r="Y1038" s="2"/>
      <c r="Z1038" s="2"/>
      <c r="AA1038" s="2"/>
    </row>
    <row r="1039" spans="21:27" ht="20.100000000000001" customHeight="1" x14ac:dyDescent="0.2">
      <c r="U1039" s="2"/>
      <c r="V1039" s="2"/>
      <c r="W1039" s="2"/>
      <c r="X1039" s="2"/>
      <c r="Y1039" s="2"/>
      <c r="Z1039" s="2"/>
      <c r="AA1039" s="2"/>
    </row>
    <row r="1040" spans="21:27" ht="20.100000000000001" customHeight="1" x14ac:dyDescent="0.2">
      <c r="U1040" s="2"/>
      <c r="V1040" s="2"/>
      <c r="W1040" s="2"/>
      <c r="X1040" s="2"/>
      <c r="Y1040" s="2"/>
      <c r="Z1040" s="2"/>
      <c r="AA1040" s="2"/>
    </row>
    <row r="1041" spans="21:27" ht="20.100000000000001" customHeight="1" x14ac:dyDescent="0.2">
      <c r="U1041" s="2"/>
      <c r="V1041" s="2"/>
      <c r="W1041" s="2"/>
      <c r="X1041" s="2"/>
      <c r="Y1041" s="2"/>
      <c r="Z1041" s="2"/>
      <c r="AA1041" s="2"/>
    </row>
    <row r="1042" spans="21:27" ht="20.100000000000001" customHeight="1" x14ac:dyDescent="0.2">
      <c r="U1042" s="2"/>
      <c r="V1042" s="2"/>
      <c r="W1042" s="2"/>
      <c r="X1042" s="2"/>
      <c r="Y1042" s="2"/>
      <c r="Z1042" s="2"/>
      <c r="AA1042" s="2"/>
    </row>
    <row r="1043" spans="21:27" ht="20.100000000000001" customHeight="1" x14ac:dyDescent="0.2">
      <c r="U1043" s="2"/>
      <c r="V1043" s="2"/>
      <c r="W1043" s="2"/>
      <c r="X1043" s="2"/>
      <c r="Y1043" s="2"/>
      <c r="Z1043" s="2"/>
      <c r="AA1043" s="2"/>
    </row>
    <row r="1044" spans="21:27" ht="20.100000000000001" customHeight="1" x14ac:dyDescent="0.2">
      <c r="U1044" s="2"/>
      <c r="V1044" s="2"/>
      <c r="W1044" s="2"/>
      <c r="X1044" s="2"/>
      <c r="Y1044" s="2"/>
      <c r="Z1044" s="2"/>
      <c r="AA1044" s="2"/>
    </row>
    <row r="1045" spans="21:27" ht="20.100000000000001" customHeight="1" x14ac:dyDescent="0.2">
      <c r="U1045" s="2"/>
      <c r="V1045" s="2"/>
      <c r="W1045" s="2"/>
      <c r="X1045" s="2"/>
      <c r="Y1045" s="2"/>
      <c r="Z1045" s="2"/>
      <c r="AA1045" s="2"/>
    </row>
    <row r="1046" spans="21:27" ht="20.100000000000001" customHeight="1" x14ac:dyDescent="0.2">
      <c r="U1046" s="2"/>
      <c r="V1046" s="2"/>
      <c r="W1046" s="2"/>
      <c r="X1046" s="2"/>
      <c r="Y1046" s="2"/>
      <c r="Z1046" s="2"/>
      <c r="AA1046" s="2"/>
    </row>
    <row r="1047" spans="21:27" ht="20.100000000000001" customHeight="1" x14ac:dyDescent="0.2">
      <c r="U1047" s="2"/>
      <c r="V1047" s="2"/>
      <c r="W1047" s="2"/>
      <c r="X1047" s="2"/>
      <c r="Y1047" s="2"/>
      <c r="Z1047" s="2"/>
      <c r="AA1047" s="2"/>
    </row>
    <row r="1048" spans="21:27" ht="20.100000000000001" customHeight="1" x14ac:dyDescent="0.2">
      <c r="U1048" s="2"/>
      <c r="V1048" s="2"/>
      <c r="W1048" s="2"/>
      <c r="X1048" s="2"/>
      <c r="Y1048" s="2"/>
      <c r="Z1048" s="2"/>
      <c r="AA1048" s="2"/>
    </row>
    <row r="1049" spans="21:27" ht="20.100000000000001" customHeight="1" x14ac:dyDescent="0.2">
      <c r="U1049" s="2"/>
      <c r="V1049" s="2"/>
      <c r="W1049" s="2"/>
      <c r="X1049" s="2"/>
      <c r="Y1049" s="2"/>
      <c r="Z1049" s="2"/>
      <c r="AA1049" s="2"/>
    </row>
    <row r="1050" spans="21:27" ht="20.100000000000001" customHeight="1" x14ac:dyDescent="0.2">
      <c r="U1050" s="2"/>
      <c r="V1050" s="2"/>
      <c r="W1050" s="2"/>
      <c r="X1050" s="2"/>
      <c r="Y1050" s="2"/>
      <c r="Z1050" s="2"/>
      <c r="AA1050" s="2"/>
    </row>
    <row r="1051" spans="21:27" ht="20.100000000000001" customHeight="1" x14ac:dyDescent="0.2">
      <c r="U1051" s="2"/>
      <c r="V1051" s="2"/>
      <c r="W1051" s="2"/>
      <c r="X1051" s="2"/>
      <c r="Y1051" s="2"/>
      <c r="Z1051" s="2"/>
      <c r="AA1051" s="2"/>
    </row>
    <row r="1052" spans="21:27" ht="20.100000000000001" customHeight="1" x14ac:dyDescent="0.2">
      <c r="U1052" s="2"/>
      <c r="V1052" s="2"/>
      <c r="W1052" s="2"/>
      <c r="X1052" s="2"/>
      <c r="Y1052" s="2"/>
      <c r="Z1052" s="2"/>
      <c r="AA1052" s="2"/>
    </row>
    <row r="1053" spans="21:27" ht="20.100000000000001" customHeight="1" x14ac:dyDescent="0.2">
      <c r="U1053" s="2"/>
      <c r="V1053" s="2"/>
      <c r="W1053" s="2"/>
      <c r="X1053" s="2"/>
      <c r="Y1053" s="2"/>
      <c r="Z1053" s="2"/>
      <c r="AA1053" s="2"/>
    </row>
    <row r="1054" spans="21:27" ht="20.100000000000001" customHeight="1" x14ac:dyDescent="0.2">
      <c r="U1054" s="2"/>
      <c r="V1054" s="2"/>
      <c r="W1054" s="2"/>
      <c r="X1054" s="2"/>
      <c r="Y1054" s="2"/>
      <c r="Z1054" s="2"/>
      <c r="AA1054" s="2"/>
    </row>
    <row r="1055" spans="21:27" ht="20.100000000000001" customHeight="1" x14ac:dyDescent="0.2">
      <c r="U1055" s="2"/>
      <c r="V1055" s="2"/>
      <c r="W1055" s="2"/>
      <c r="X1055" s="2"/>
      <c r="Y1055" s="2"/>
      <c r="Z1055" s="2"/>
      <c r="AA1055" s="2"/>
    </row>
    <row r="1056" spans="21:27" ht="20.100000000000001" customHeight="1" x14ac:dyDescent="0.2">
      <c r="U1056" s="2"/>
      <c r="V1056" s="2"/>
      <c r="W1056" s="2"/>
      <c r="X1056" s="2"/>
      <c r="Y1056" s="2"/>
      <c r="Z1056" s="2"/>
      <c r="AA1056" s="2"/>
    </row>
    <row r="1057" spans="21:27" ht="20.100000000000001" customHeight="1" x14ac:dyDescent="0.2">
      <c r="U1057" s="2"/>
      <c r="V1057" s="2"/>
      <c r="W1057" s="2"/>
      <c r="X1057" s="2"/>
      <c r="Y1057" s="2"/>
      <c r="Z1057" s="2"/>
      <c r="AA1057" s="2"/>
    </row>
    <row r="1058" spans="21:27" ht="20.100000000000001" customHeight="1" x14ac:dyDescent="0.2">
      <c r="U1058" s="2"/>
      <c r="V1058" s="2"/>
      <c r="W1058" s="2"/>
      <c r="X1058" s="2"/>
      <c r="Y1058" s="2"/>
      <c r="Z1058" s="2"/>
      <c r="AA1058" s="2"/>
    </row>
    <row r="1059" spans="21:27" ht="20.100000000000001" customHeight="1" x14ac:dyDescent="0.2">
      <c r="U1059" s="2"/>
      <c r="V1059" s="2"/>
      <c r="W1059" s="2"/>
      <c r="X1059" s="2"/>
      <c r="Y1059" s="2"/>
      <c r="Z1059" s="2"/>
      <c r="AA1059" s="2"/>
    </row>
    <row r="1060" spans="21:27" ht="20.100000000000001" customHeight="1" x14ac:dyDescent="0.2">
      <c r="U1060" s="2"/>
      <c r="V1060" s="2"/>
      <c r="W1060" s="2"/>
      <c r="X1060" s="2"/>
      <c r="Y1060" s="2"/>
      <c r="Z1060" s="2"/>
      <c r="AA1060" s="2"/>
    </row>
    <row r="1061" spans="21:27" ht="20.100000000000001" customHeight="1" x14ac:dyDescent="0.2">
      <c r="U1061" s="2"/>
      <c r="V1061" s="2"/>
      <c r="W1061" s="2"/>
      <c r="X1061" s="2"/>
      <c r="Y1061" s="2"/>
      <c r="Z1061" s="2"/>
      <c r="AA1061" s="2"/>
    </row>
    <row r="1062" spans="21:27" ht="20.100000000000001" customHeight="1" x14ac:dyDescent="0.2">
      <c r="U1062" s="2"/>
      <c r="V1062" s="2"/>
      <c r="W1062" s="2"/>
      <c r="X1062" s="2"/>
      <c r="Y1062" s="2"/>
      <c r="Z1062" s="2"/>
      <c r="AA1062" s="2"/>
    </row>
    <row r="1063" spans="21:27" ht="20.100000000000001" customHeight="1" x14ac:dyDescent="0.2">
      <c r="U1063" s="2"/>
      <c r="V1063" s="2"/>
      <c r="W1063" s="2"/>
      <c r="X1063" s="2"/>
      <c r="Y1063" s="2"/>
      <c r="Z1063" s="2"/>
      <c r="AA1063" s="2"/>
    </row>
    <row r="1064" spans="21:27" ht="20.100000000000001" customHeight="1" x14ac:dyDescent="0.2">
      <c r="U1064" s="2"/>
      <c r="V1064" s="2"/>
      <c r="W1064" s="2"/>
      <c r="X1064" s="2"/>
      <c r="Y1064" s="2"/>
      <c r="Z1064" s="2"/>
      <c r="AA1064" s="2"/>
    </row>
    <row r="1065" spans="21:27" ht="20.100000000000001" customHeight="1" x14ac:dyDescent="0.2">
      <c r="U1065" s="2"/>
      <c r="V1065" s="2"/>
      <c r="W1065" s="2"/>
      <c r="X1065" s="2"/>
      <c r="Y1065" s="2"/>
      <c r="Z1065" s="2"/>
      <c r="AA1065" s="2"/>
    </row>
    <row r="1066" spans="21:27" ht="20.100000000000001" customHeight="1" x14ac:dyDescent="0.2">
      <c r="U1066" s="2"/>
      <c r="V1066" s="2"/>
      <c r="W1066" s="2"/>
      <c r="X1066" s="2"/>
      <c r="Y1066" s="2"/>
      <c r="Z1066" s="2"/>
      <c r="AA1066" s="2"/>
    </row>
    <row r="1067" spans="21:27" ht="20.100000000000001" customHeight="1" x14ac:dyDescent="0.2">
      <c r="U1067" s="2"/>
      <c r="V1067" s="2"/>
      <c r="W1067" s="2"/>
      <c r="X1067" s="2"/>
      <c r="Y1067" s="2"/>
      <c r="Z1067" s="2"/>
      <c r="AA1067" s="2"/>
    </row>
    <row r="1068" spans="21:27" ht="20.100000000000001" customHeight="1" x14ac:dyDescent="0.2">
      <c r="U1068" s="2"/>
      <c r="V1068" s="2"/>
      <c r="W1068" s="2"/>
      <c r="X1068" s="2"/>
      <c r="Y1068" s="2"/>
      <c r="Z1068" s="2"/>
      <c r="AA1068" s="2"/>
    </row>
    <row r="1069" spans="21:27" ht="20.100000000000001" customHeight="1" x14ac:dyDescent="0.2">
      <c r="U1069" s="2"/>
      <c r="V1069" s="2"/>
      <c r="W1069" s="2"/>
      <c r="X1069" s="2"/>
      <c r="Y1069" s="2"/>
      <c r="Z1069" s="2"/>
      <c r="AA1069" s="2"/>
    </row>
    <row r="1070" spans="21:27" ht="20.100000000000001" customHeight="1" x14ac:dyDescent="0.2">
      <c r="U1070" s="2"/>
      <c r="V1070" s="2"/>
      <c r="W1070" s="2"/>
      <c r="X1070" s="2"/>
      <c r="Y1070" s="2"/>
      <c r="Z1070" s="2"/>
      <c r="AA1070" s="2"/>
    </row>
    <row r="1071" spans="21:27" ht="20.100000000000001" customHeight="1" x14ac:dyDescent="0.2">
      <c r="U1071" s="2"/>
      <c r="V1071" s="2"/>
      <c r="W1071" s="2"/>
      <c r="X1071" s="2"/>
      <c r="Y1071" s="2"/>
      <c r="Z1071" s="2"/>
      <c r="AA1071" s="2"/>
    </row>
    <row r="1072" spans="21:27" ht="20.100000000000001" customHeight="1" x14ac:dyDescent="0.2">
      <c r="U1072" s="2"/>
      <c r="V1072" s="2"/>
      <c r="W1072" s="2"/>
      <c r="X1072" s="2"/>
      <c r="Y1072" s="2"/>
      <c r="Z1072" s="2"/>
      <c r="AA1072" s="2"/>
    </row>
    <row r="1073" spans="21:27" ht="20.100000000000001" customHeight="1" x14ac:dyDescent="0.2">
      <c r="U1073" s="2"/>
      <c r="V1073" s="2"/>
      <c r="W1073" s="2"/>
      <c r="X1073" s="2"/>
      <c r="Y1073" s="2"/>
      <c r="Z1073" s="2"/>
      <c r="AA1073" s="2"/>
    </row>
    <row r="1074" spans="21:27" ht="20.100000000000001" customHeight="1" x14ac:dyDescent="0.2">
      <c r="U1074" s="2"/>
      <c r="V1074" s="2"/>
      <c r="W1074" s="2"/>
      <c r="X1074" s="2"/>
      <c r="Y1074" s="2"/>
      <c r="Z1074" s="2"/>
      <c r="AA1074" s="2"/>
    </row>
    <row r="1075" spans="21:27" ht="20.100000000000001" customHeight="1" x14ac:dyDescent="0.2">
      <c r="U1075" s="2"/>
      <c r="V1075" s="2"/>
      <c r="W1075" s="2"/>
      <c r="X1075" s="2"/>
      <c r="Y1075" s="2"/>
      <c r="Z1075" s="2"/>
      <c r="AA1075" s="2"/>
    </row>
    <row r="1076" spans="21:27" ht="20.100000000000001" customHeight="1" x14ac:dyDescent="0.2">
      <c r="U1076" s="2"/>
      <c r="V1076" s="2"/>
      <c r="W1076" s="2"/>
      <c r="X1076" s="2"/>
      <c r="Y1076" s="2"/>
      <c r="Z1076" s="2"/>
      <c r="AA1076" s="2"/>
    </row>
    <row r="1077" spans="21:27" ht="20.100000000000001" customHeight="1" x14ac:dyDescent="0.2">
      <c r="U1077" s="2"/>
      <c r="V1077" s="2"/>
      <c r="W1077" s="2"/>
      <c r="X1077" s="2"/>
      <c r="Y1077" s="2"/>
      <c r="Z1077" s="2"/>
      <c r="AA1077" s="2"/>
    </row>
    <row r="1078" spans="21:27" ht="20.100000000000001" customHeight="1" x14ac:dyDescent="0.2">
      <c r="U1078" s="2"/>
      <c r="V1078" s="2"/>
      <c r="W1078" s="2"/>
      <c r="X1078" s="2"/>
      <c r="Y1078" s="2"/>
      <c r="Z1078" s="2"/>
      <c r="AA1078" s="2"/>
    </row>
    <row r="1079" spans="21:27" ht="20.100000000000001" customHeight="1" x14ac:dyDescent="0.2">
      <c r="U1079" s="2"/>
      <c r="V1079" s="2"/>
      <c r="W1079" s="2"/>
      <c r="X1079" s="2"/>
      <c r="Y1079" s="2"/>
      <c r="Z1079" s="2"/>
      <c r="AA1079" s="2"/>
    </row>
    <row r="1080" spans="21:27" ht="20.100000000000001" customHeight="1" x14ac:dyDescent="0.2">
      <c r="U1080" s="2"/>
      <c r="V1080" s="2"/>
      <c r="W1080" s="2"/>
      <c r="X1080" s="2"/>
      <c r="Y1080" s="2"/>
      <c r="Z1080" s="2"/>
      <c r="AA1080" s="2"/>
    </row>
    <row r="1081" spans="21:27" ht="20.100000000000001" customHeight="1" x14ac:dyDescent="0.2">
      <c r="U1081" s="2"/>
      <c r="V1081" s="2"/>
      <c r="W1081" s="2"/>
      <c r="X1081" s="2"/>
      <c r="Y1081" s="2"/>
      <c r="Z1081" s="2"/>
      <c r="AA1081" s="2"/>
    </row>
    <row r="1082" spans="21:27" ht="20.100000000000001" customHeight="1" x14ac:dyDescent="0.2">
      <c r="U1082" s="2"/>
      <c r="V1082" s="2"/>
      <c r="W1082" s="2"/>
      <c r="X1082" s="2"/>
      <c r="Y1082" s="2"/>
      <c r="Z1082" s="2"/>
      <c r="AA1082" s="2"/>
    </row>
    <row r="1083" spans="21:27" ht="20.100000000000001" customHeight="1" x14ac:dyDescent="0.2">
      <c r="U1083" s="2"/>
      <c r="V1083" s="2"/>
      <c r="W1083" s="2"/>
      <c r="X1083" s="2"/>
      <c r="Y1083" s="2"/>
      <c r="Z1083" s="2"/>
      <c r="AA1083" s="2"/>
    </row>
    <row r="1084" spans="21:27" ht="20.100000000000001" customHeight="1" x14ac:dyDescent="0.2">
      <c r="U1084" s="2"/>
      <c r="V1084" s="2"/>
      <c r="W1084" s="2"/>
      <c r="X1084" s="2"/>
      <c r="Y1084" s="2"/>
      <c r="Z1084" s="2"/>
      <c r="AA1084" s="2"/>
    </row>
    <row r="1085" spans="21:27" ht="20.100000000000001" customHeight="1" x14ac:dyDescent="0.2">
      <c r="U1085" s="2"/>
      <c r="V1085" s="2"/>
      <c r="W1085" s="2"/>
      <c r="X1085" s="2"/>
      <c r="Y1085" s="2"/>
      <c r="Z1085" s="2"/>
      <c r="AA1085" s="2"/>
    </row>
    <row r="1086" spans="21:27" ht="20.100000000000001" customHeight="1" x14ac:dyDescent="0.2">
      <c r="U1086" s="2"/>
      <c r="V1086" s="2"/>
      <c r="W1086" s="2"/>
      <c r="X1086" s="2"/>
      <c r="Y1086" s="2"/>
      <c r="Z1086" s="2"/>
      <c r="AA1086" s="2"/>
    </row>
    <row r="1087" spans="21:27" ht="20.100000000000001" customHeight="1" x14ac:dyDescent="0.2">
      <c r="U1087" s="2"/>
      <c r="V1087" s="2"/>
      <c r="W1087" s="2"/>
      <c r="X1087" s="2"/>
      <c r="Y1087" s="2"/>
      <c r="Z1087" s="2"/>
      <c r="AA1087" s="2"/>
    </row>
    <row r="1088" spans="21:27" ht="20.100000000000001" customHeight="1" x14ac:dyDescent="0.2">
      <c r="U1088" s="2"/>
      <c r="V1088" s="2"/>
      <c r="W1088" s="2"/>
      <c r="X1088" s="2"/>
      <c r="Y1088" s="2"/>
      <c r="Z1088" s="2"/>
      <c r="AA1088" s="2"/>
    </row>
    <row r="1089" spans="21:27" ht="20.100000000000001" customHeight="1" x14ac:dyDescent="0.2">
      <c r="U1089" s="2"/>
      <c r="V1089" s="2"/>
      <c r="W1089" s="2"/>
      <c r="X1089" s="2"/>
      <c r="Y1089" s="2"/>
      <c r="Z1089" s="2"/>
      <c r="AA1089" s="2"/>
    </row>
    <row r="1090" spans="21:27" ht="20.100000000000001" customHeight="1" x14ac:dyDescent="0.2">
      <c r="U1090" s="2"/>
      <c r="V1090" s="2"/>
      <c r="W1090" s="2"/>
      <c r="X1090" s="2"/>
      <c r="Y1090" s="2"/>
      <c r="Z1090" s="2"/>
      <c r="AA1090" s="2"/>
    </row>
    <row r="1091" spans="21:27" ht="20.100000000000001" customHeight="1" x14ac:dyDescent="0.2">
      <c r="U1091" s="2"/>
      <c r="V1091" s="2"/>
      <c r="W1091" s="2"/>
      <c r="X1091" s="2"/>
      <c r="Y1091" s="2"/>
      <c r="Z1091" s="2"/>
      <c r="AA1091" s="2"/>
    </row>
    <row r="1092" spans="21:27" ht="20.100000000000001" customHeight="1" x14ac:dyDescent="0.2">
      <c r="U1092" s="2"/>
      <c r="V1092" s="2"/>
      <c r="W1092" s="2"/>
      <c r="X1092" s="2"/>
      <c r="Y1092" s="2"/>
      <c r="Z1092" s="2"/>
      <c r="AA1092" s="2"/>
    </row>
    <row r="1093" spans="21:27" ht="20.100000000000001" customHeight="1" x14ac:dyDescent="0.2">
      <c r="U1093" s="2"/>
      <c r="V1093" s="2"/>
      <c r="W1093" s="2"/>
      <c r="X1093" s="2"/>
      <c r="Y1093" s="2"/>
      <c r="Z1093" s="2"/>
      <c r="AA1093" s="2"/>
    </row>
    <row r="1094" spans="21:27" ht="20.100000000000001" customHeight="1" x14ac:dyDescent="0.2">
      <c r="U1094" s="2"/>
      <c r="V1094" s="2"/>
      <c r="W1094" s="2"/>
      <c r="X1094" s="2"/>
      <c r="Y1094" s="2"/>
      <c r="Z1094" s="2"/>
      <c r="AA1094" s="2"/>
    </row>
    <row r="1095" spans="21:27" ht="20.100000000000001" customHeight="1" x14ac:dyDescent="0.2">
      <c r="U1095" s="2"/>
      <c r="V1095" s="2"/>
      <c r="W1095" s="2"/>
      <c r="X1095" s="2"/>
      <c r="Y1095" s="2"/>
      <c r="Z1095" s="2"/>
      <c r="AA1095" s="2"/>
    </row>
    <row r="1096" spans="21:27" ht="20.100000000000001" customHeight="1" x14ac:dyDescent="0.2">
      <c r="U1096" s="2"/>
      <c r="V1096" s="2"/>
      <c r="W1096" s="2"/>
      <c r="X1096" s="2"/>
      <c r="Y1096" s="2"/>
      <c r="Z1096" s="2"/>
      <c r="AA1096" s="2"/>
    </row>
    <row r="1097" spans="21:27" ht="20.100000000000001" customHeight="1" x14ac:dyDescent="0.2">
      <c r="U1097" s="2"/>
      <c r="V1097" s="2"/>
      <c r="W1097" s="2"/>
      <c r="X1097" s="2"/>
      <c r="Y1097" s="2"/>
      <c r="Z1097" s="2"/>
      <c r="AA1097" s="2"/>
    </row>
    <row r="1098" spans="21:27" ht="20.100000000000001" customHeight="1" x14ac:dyDescent="0.2">
      <c r="U1098" s="2"/>
      <c r="V1098" s="2"/>
      <c r="W1098" s="2"/>
      <c r="X1098" s="2"/>
      <c r="Y1098" s="2"/>
      <c r="Z1098" s="2"/>
      <c r="AA1098" s="2"/>
    </row>
    <row r="1099" spans="21:27" ht="20.100000000000001" customHeight="1" x14ac:dyDescent="0.2">
      <c r="U1099" s="2"/>
      <c r="V1099" s="2"/>
      <c r="W1099" s="2"/>
      <c r="X1099" s="2"/>
      <c r="Y1099" s="2"/>
      <c r="Z1099" s="2"/>
      <c r="AA1099" s="2"/>
    </row>
    <row r="1100" spans="21:27" ht="20.100000000000001" customHeight="1" x14ac:dyDescent="0.2">
      <c r="U1100" s="2"/>
      <c r="V1100" s="2"/>
      <c r="W1100" s="2"/>
      <c r="X1100" s="2"/>
      <c r="Y1100" s="2"/>
      <c r="Z1100" s="2"/>
      <c r="AA1100" s="2"/>
    </row>
    <row r="1101" spans="21:27" ht="20.100000000000001" customHeight="1" x14ac:dyDescent="0.2">
      <c r="U1101" s="2"/>
      <c r="V1101" s="2"/>
      <c r="W1101" s="2"/>
      <c r="X1101" s="2"/>
      <c r="Y1101" s="2"/>
      <c r="Z1101" s="2"/>
      <c r="AA1101" s="2"/>
    </row>
    <row r="1102" spans="21:27" ht="20.100000000000001" customHeight="1" x14ac:dyDescent="0.2">
      <c r="U1102" s="2"/>
      <c r="V1102" s="2"/>
      <c r="W1102" s="2"/>
      <c r="X1102" s="2"/>
      <c r="Y1102" s="2"/>
      <c r="Z1102" s="2"/>
      <c r="AA1102" s="2"/>
    </row>
    <row r="1103" spans="21:27" ht="20.100000000000001" customHeight="1" x14ac:dyDescent="0.2">
      <c r="U1103" s="2"/>
      <c r="V1103" s="2"/>
      <c r="W1103" s="2"/>
      <c r="X1103" s="2"/>
      <c r="Y1103" s="2"/>
      <c r="Z1103" s="2"/>
      <c r="AA1103" s="2"/>
    </row>
    <row r="1104" spans="21:27" ht="20.100000000000001" customHeight="1" x14ac:dyDescent="0.2">
      <c r="U1104" s="2"/>
      <c r="V1104" s="2"/>
      <c r="W1104" s="2"/>
      <c r="X1104" s="2"/>
      <c r="Y1104" s="2"/>
      <c r="Z1104" s="2"/>
      <c r="AA1104" s="2"/>
    </row>
    <row r="1105" spans="21:27" ht="20.100000000000001" customHeight="1" x14ac:dyDescent="0.2">
      <c r="U1105" s="2"/>
      <c r="V1105" s="2"/>
      <c r="W1105" s="2"/>
      <c r="X1105" s="2"/>
      <c r="Y1105" s="2"/>
      <c r="Z1105" s="2"/>
      <c r="AA1105" s="2"/>
    </row>
    <row r="1106" spans="21:27" ht="20.100000000000001" customHeight="1" x14ac:dyDescent="0.2">
      <c r="U1106" s="2"/>
      <c r="V1106" s="2"/>
      <c r="W1106" s="2"/>
      <c r="X1106" s="2"/>
      <c r="Y1106" s="2"/>
      <c r="Z1106" s="2"/>
      <c r="AA1106" s="2"/>
    </row>
    <row r="1107" spans="21:27" ht="20.100000000000001" customHeight="1" x14ac:dyDescent="0.2">
      <c r="U1107" s="2"/>
      <c r="V1107" s="2"/>
      <c r="W1107" s="2"/>
      <c r="X1107" s="2"/>
      <c r="Y1107" s="2"/>
      <c r="Z1107" s="2"/>
      <c r="AA1107" s="2"/>
    </row>
    <row r="1108" spans="21:27" ht="20.100000000000001" customHeight="1" x14ac:dyDescent="0.2">
      <c r="U1108" s="2"/>
      <c r="V1108" s="2"/>
      <c r="W1108" s="2"/>
      <c r="X1108" s="2"/>
      <c r="Y1108" s="2"/>
      <c r="Z1108" s="2"/>
      <c r="AA1108" s="2"/>
    </row>
    <row r="1109" spans="21:27" ht="20.100000000000001" customHeight="1" x14ac:dyDescent="0.2">
      <c r="U1109" s="2"/>
      <c r="V1109" s="2"/>
      <c r="W1109" s="2"/>
      <c r="X1109" s="2"/>
      <c r="Y1109" s="2"/>
      <c r="Z1109" s="2"/>
      <c r="AA1109" s="2"/>
    </row>
    <row r="1110" spans="21:27" ht="20.100000000000001" customHeight="1" x14ac:dyDescent="0.2">
      <c r="U1110" s="2"/>
      <c r="V1110" s="2"/>
      <c r="W1110" s="2"/>
      <c r="X1110" s="2"/>
      <c r="Y1110" s="2"/>
      <c r="Z1110" s="2"/>
      <c r="AA1110" s="2"/>
    </row>
    <row r="1111" spans="21:27" ht="20.100000000000001" customHeight="1" x14ac:dyDescent="0.2">
      <c r="U1111" s="2"/>
      <c r="V1111" s="2"/>
      <c r="W1111" s="2"/>
      <c r="X1111" s="2"/>
      <c r="Y1111" s="2"/>
      <c r="Z1111" s="2"/>
      <c r="AA1111" s="2"/>
    </row>
    <row r="1112" spans="21:27" ht="20.100000000000001" customHeight="1" x14ac:dyDescent="0.2">
      <c r="U1112" s="2"/>
      <c r="V1112" s="2"/>
      <c r="W1112" s="2"/>
      <c r="X1112" s="2"/>
      <c r="Y1112" s="2"/>
      <c r="Z1112" s="2"/>
      <c r="AA1112" s="2"/>
    </row>
    <row r="1113" spans="21:27" ht="20.100000000000001" customHeight="1" x14ac:dyDescent="0.2">
      <c r="U1113" s="2"/>
      <c r="V1113" s="2"/>
      <c r="W1113" s="2"/>
      <c r="X1113" s="2"/>
      <c r="Y1113" s="2"/>
      <c r="Z1113" s="2"/>
      <c r="AA1113" s="2"/>
    </row>
    <row r="1114" spans="21:27" ht="20.100000000000001" customHeight="1" x14ac:dyDescent="0.2">
      <c r="U1114" s="2"/>
      <c r="V1114" s="2"/>
      <c r="W1114" s="2"/>
      <c r="X1114" s="2"/>
      <c r="Y1114" s="2"/>
      <c r="Z1114" s="2"/>
      <c r="AA1114" s="2"/>
    </row>
    <row r="1115" spans="21:27" ht="20.100000000000001" customHeight="1" x14ac:dyDescent="0.2">
      <c r="U1115" s="2"/>
      <c r="V1115" s="2"/>
      <c r="W1115" s="2"/>
      <c r="X1115" s="2"/>
      <c r="Y1115" s="2"/>
      <c r="Z1115" s="2"/>
      <c r="AA1115" s="2"/>
    </row>
    <row r="1116" spans="21:27" ht="20.100000000000001" customHeight="1" x14ac:dyDescent="0.2">
      <c r="U1116" s="2"/>
      <c r="V1116" s="2"/>
      <c r="W1116" s="2"/>
      <c r="X1116" s="2"/>
      <c r="Y1116" s="2"/>
      <c r="Z1116" s="2"/>
      <c r="AA1116" s="2"/>
    </row>
    <row r="1117" spans="21:27" ht="20.100000000000001" customHeight="1" x14ac:dyDescent="0.2">
      <c r="U1117" s="2"/>
      <c r="V1117" s="2"/>
      <c r="W1117" s="2"/>
      <c r="X1117" s="2"/>
      <c r="Y1117" s="2"/>
      <c r="Z1117" s="2"/>
      <c r="AA1117" s="2"/>
    </row>
    <row r="1118" spans="21:27" ht="20.100000000000001" customHeight="1" x14ac:dyDescent="0.2">
      <c r="U1118" s="2"/>
      <c r="V1118" s="2"/>
      <c r="W1118" s="2"/>
      <c r="X1118" s="2"/>
      <c r="Y1118" s="2"/>
      <c r="Z1118" s="2"/>
      <c r="AA1118" s="2"/>
    </row>
    <row r="1119" spans="21:27" ht="20.100000000000001" customHeight="1" x14ac:dyDescent="0.2">
      <c r="U1119" s="2"/>
      <c r="V1119" s="2"/>
      <c r="W1119" s="2"/>
      <c r="X1119" s="2"/>
      <c r="Y1119" s="2"/>
      <c r="Z1119" s="2"/>
      <c r="AA1119" s="2"/>
    </row>
    <row r="1120" spans="21:27" ht="20.100000000000001" customHeight="1" x14ac:dyDescent="0.2">
      <c r="U1120" s="2"/>
      <c r="V1120" s="2"/>
      <c r="W1120" s="2"/>
      <c r="X1120" s="2"/>
      <c r="Y1120" s="2"/>
      <c r="Z1120" s="2"/>
      <c r="AA1120" s="2"/>
    </row>
    <row r="1121" spans="21:27" ht="20.100000000000001" customHeight="1" x14ac:dyDescent="0.2">
      <c r="U1121" s="2"/>
      <c r="V1121" s="2"/>
      <c r="W1121" s="2"/>
      <c r="X1121" s="2"/>
      <c r="Y1121" s="2"/>
      <c r="Z1121" s="2"/>
      <c r="AA1121" s="2"/>
    </row>
    <row r="1122" spans="21:27" ht="20.100000000000001" customHeight="1" x14ac:dyDescent="0.2">
      <c r="U1122" s="2"/>
      <c r="V1122" s="2"/>
      <c r="W1122" s="2"/>
      <c r="X1122" s="2"/>
      <c r="Y1122" s="2"/>
      <c r="Z1122" s="2"/>
      <c r="AA1122" s="2"/>
    </row>
    <row r="1123" spans="21:27" ht="20.100000000000001" customHeight="1" x14ac:dyDescent="0.2">
      <c r="U1123" s="2"/>
      <c r="V1123" s="2"/>
      <c r="W1123" s="2"/>
      <c r="X1123" s="2"/>
      <c r="Y1123" s="2"/>
      <c r="Z1123" s="2"/>
      <c r="AA1123" s="2"/>
    </row>
    <row r="1124" spans="21:27" ht="20.100000000000001" customHeight="1" x14ac:dyDescent="0.2">
      <c r="U1124" s="2"/>
      <c r="V1124" s="2"/>
      <c r="W1124" s="2"/>
      <c r="X1124" s="2"/>
      <c r="Y1124" s="2"/>
      <c r="Z1124" s="2"/>
      <c r="AA1124" s="2"/>
    </row>
    <row r="1125" spans="21:27" ht="20.100000000000001" customHeight="1" x14ac:dyDescent="0.2">
      <c r="U1125" s="2"/>
      <c r="V1125" s="2"/>
      <c r="W1125" s="2"/>
      <c r="X1125" s="2"/>
      <c r="Y1125" s="2"/>
      <c r="Z1125" s="2"/>
      <c r="AA1125" s="2"/>
    </row>
    <row r="1126" spans="21:27" ht="20.100000000000001" customHeight="1" x14ac:dyDescent="0.2">
      <c r="U1126" s="2"/>
      <c r="V1126" s="2"/>
      <c r="W1126" s="2"/>
      <c r="X1126" s="2"/>
      <c r="Y1126" s="2"/>
      <c r="Z1126" s="2"/>
      <c r="AA1126" s="2"/>
    </row>
    <row r="1127" spans="21:27" ht="20.100000000000001" customHeight="1" x14ac:dyDescent="0.2">
      <c r="U1127" s="2"/>
      <c r="V1127" s="2"/>
      <c r="W1127" s="2"/>
      <c r="X1127" s="2"/>
      <c r="Y1127" s="2"/>
      <c r="Z1127" s="2"/>
      <c r="AA1127" s="2"/>
    </row>
    <row r="1128" spans="21:27" ht="20.100000000000001" customHeight="1" x14ac:dyDescent="0.2">
      <c r="U1128" s="2"/>
      <c r="V1128" s="2"/>
      <c r="W1128" s="2"/>
      <c r="X1128" s="2"/>
      <c r="Y1128" s="2"/>
      <c r="Z1128" s="2"/>
      <c r="AA1128" s="2"/>
    </row>
    <row r="1129" spans="21:27" ht="20.100000000000001" customHeight="1" x14ac:dyDescent="0.2">
      <c r="U1129" s="2"/>
      <c r="V1129" s="2"/>
      <c r="W1129" s="2"/>
      <c r="X1129" s="2"/>
      <c r="Y1129" s="2"/>
      <c r="Z1129" s="2"/>
      <c r="AA1129" s="2"/>
    </row>
    <row r="1130" spans="21:27" ht="20.100000000000001" customHeight="1" x14ac:dyDescent="0.2">
      <c r="U1130" s="2"/>
      <c r="V1130" s="2"/>
      <c r="W1130" s="2"/>
      <c r="X1130" s="2"/>
      <c r="Y1130" s="2"/>
      <c r="Z1130" s="2"/>
      <c r="AA1130" s="2"/>
    </row>
    <row r="1131" spans="21:27" ht="20.100000000000001" customHeight="1" x14ac:dyDescent="0.2">
      <c r="U1131" s="2"/>
      <c r="V1131" s="2"/>
      <c r="W1131" s="2"/>
      <c r="X1131" s="2"/>
      <c r="Y1131" s="2"/>
      <c r="Z1131" s="2"/>
      <c r="AA1131" s="2"/>
    </row>
    <row r="1132" spans="21:27" ht="20.100000000000001" customHeight="1" x14ac:dyDescent="0.2">
      <c r="U1132" s="2"/>
      <c r="V1132" s="2"/>
      <c r="W1132" s="2"/>
      <c r="X1132" s="2"/>
      <c r="Y1132" s="2"/>
      <c r="Z1132" s="2"/>
      <c r="AA1132" s="2"/>
    </row>
    <row r="1133" spans="21:27" ht="20.100000000000001" customHeight="1" x14ac:dyDescent="0.2">
      <c r="U1133" s="2"/>
      <c r="V1133" s="2"/>
      <c r="W1133" s="2"/>
      <c r="X1133" s="2"/>
      <c r="Y1133" s="2"/>
      <c r="Z1133" s="2"/>
      <c r="AA1133" s="2"/>
    </row>
    <row r="1134" spans="21:27" ht="20.100000000000001" customHeight="1" x14ac:dyDescent="0.2">
      <c r="U1134" s="2"/>
      <c r="V1134" s="2"/>
      <c r="W1134" s="2"/>
      <c r="X1134" s="2"/>
      <c r="Y1134" s="2"/>
      <c r="Z1134" s="2"/>
      <c r="AA1134" s="2"/>
    </row>
    <row r="1135" spans="21:27" ht="20.100000000000001" customHeight="1" x14ac:dyDescent="0.2">
      <c r="U1135" s="2"/>
      <c r="V1135" s="2"/>
      <c r="W1135" s="2"/>
      <c r="X1135" s="2"/>
      <c r="Y1135" s="2"/>
      <c r="Z1135" s="2"/>
      <c r="AA1135" s="2"/>
    </row>
    <row r="1136" spans="21:27" ht="20.100000000000001" customHeight="1" x14ac:dyDescent="0.2">
      <c r="U1136" s="2"/>
      <c r="V1136" s="2"/>
      <c r="W1136" s="2"/>
      <c r="X1136" s="2"/>
      <c r="Y1136" s="2"/>
      <c r="Z1136" s="2"/>
      <c r="AA1136" s="2"/>
    </row>
    <row r="1137" spans="21:27" ht="20.100000000000001" customHeight="1" x14ac:dyDescent="0.2">
      <c r="U1137" s="2"/>
      <c r="V1137" s="2"/>
      <c r="W1137" s="2"/>
      <c r="X1137" s="2"/>
      <c r="Y1137" s="2"/>
      <c r="Z1137" s="2"/>
      <c r="AA1137" s="2"/>
    </row>
    <row r="1138" spans="21:27" ht="20.100000000000001" customHeight="1" x14ac:dyDescent="0.2">
      <c r="U1138" s="2"/>
      <c r="V1138" s="2"/>
      <c r="W1138" s="2"/>
      <c r="X1138" s="2"/>
      <c r="Y1138" s="2"/>
      <c r="Z1138" s="2"/>
      <c r="AA1138" s="2"/>
    </row>
    <row r="1139" spans="21:27" ht="20.100000000000001" customHeight="1" x14ac:dyDescent="0.2">
      <c r="U1139" s="2"/>
      <c r="V1139" s="2"/>
      <c r="W1139" s="2"/>
      <c r="X1139" s="2"/>
      <c r="Y1139" s="2"/>
      <c r="Z1139" s="2"/>
      <c r="AA1139" s="2"/>
    </row>
    <row r="1140" spans="21:27" ht="20.100000000000001" customHeight="1" x14ac:dyDescent="0.2">
      <c r="U1140" s="2"/>
      <c r="V1140" s="2"/>
      <c r="W1140" s="2"/>
      <c r="X1140" s="2"/>
      <c r="Y1140" s="2"/>
      <c r="Z1140" s="2"/>
      <c r="AA1140" s="2"/>
    </row>
    <row r="1141" spans="21:27" ht="20.100000000000001" customHeight="1" x14ac:dyDescent="0.2">
      <c r="U1141" s="2"/>
      <c r="V1141" s="2"/>
      <c r="W1141" s="2"/>
      <c r="X1141" s="2"/>
      <c r="Y1141" s="2"/>
      <c r="Z1141" s="2"/>
      <c r="AA1141" s="2"/>
    </row>
    <row r="1142" spans="21:27" ht="20.100000000000001" customHeight="1" x14ac:dyDescent="0.2">
      <c r="U1142" s="2"/>
      <c r="V1142" s="2"/>
      <c r="W1142" s="2"/>
      <c r="X1142" s="2"/>
      <c r="Y1142" s="2"/>
      <c r="Z1142" s="2"/>
      <c r="AA1142" s="2"/>
    </row>
    <row r="1143" spans="21:27" ht="20.100000000000001" customHeight="1" x14ac:dyDescent="0.2">
      <c r="U1143" s="2"/>
      <c r="V1143" s="2"/>
      <c r="W1143" s="2"/>
      <c r="X1143" s="2"/>
      <c r="Y1143" s="2"/>
      <c r="Z1143" s="2"/>
      <c r="AA1143" s="2"/>
    </row>
    <row r="1144" spans="21:27" ht="20.100000000000001" customHeight="1" x14ac:dyDescent="0.2">
      <c r="U1144" s="2"/>
      <c r="V1144" s="2"/>
      <c r="W1144" s="2"/>
      <c r="X1144" s="2"/>
      <c r="Y1144" s="2"/>
      <c r="Z1144" s="2"/>
      <c r="AA1144" s="2"/>
    </row>
    <row r="1145" spans="21:27" ht="20.100000000000001" customHeight="1" x14ac:dyDescent="0.2">
      <c r="U1145" s="2"/>
      <c r="V1145" s="2"/>
      <c r="W1145" s="2"/>
      <c r="X1145" s="2"/>
      <c r="Y1145" s="2"/>
      <c r="Z1145" s="2"/>
      <c r="AA1145" s="2"/>
    </row>
    <row r="1146" spans="21:27" ht="20.100000000000001" customHeight="1" x14ac:dyDescent="0.2">
      <c r="U1146" s="2"/>
      <c r="V1146" s="2"/>
      <c r="W1146" s="2"/>
      <c r="X1146" s="2"/>
      <c r="Y1146" s="2"/>
      <c r="Z1146" s="2"/>
      <c r="AA1146" s="2"/>
    </row>
    <row r="1147" spans="21:27" ht="20.100000000000001" customHeight="1" x14ac:dyDescent="0.2">
      <c r="U1147" s="2"/>
      <c r="V1147" s="2"/>
      <c r="W1147" s="2"/>
      <c r="X1147" s="2"/>
      <c r="Y1147" s="2"/>
      <c r="Z1147" s="2"/>
      <c r="AA1147" s="2"/>
    </row>
    <row r="1148" spans="21:27" ht="20.100000000000001" customHeight="1" x14ac:dyDescent="0.2">
      <c r="U1148" s="2"/>
      <c r="V1148" s="2"/>
      <c r="W1148" s="2"/>
      <c r="X1148" s="2"/>
      <c r="Y1148" s="2"/>
      <c r="Z1148" s="2"/>
      <c r="AA1148" s="2"/>
    </row>
    <row r="1149" spans="21:27" ht="20.100000000000001" customHeight="1" x14ac:dyDescent="0.2">
      <c r="U1149" s="2"/>
      <c r="V1149" s="2"/>
      <c r="W1149" s="2"/>
      <c r="X1149" s="2"/>
      <c r="Y1149" s="2"/>
      <c r="Z1149" s="2"/>
      <c r="AA1149" s="2"/>
    </row>
    <row r="1150" spans="21:27" ht="20.100000000000001" customHeight="1" x14ac:dyDescent="0.2">
      <c r="U1150" s="2"/>
      <c r="V1150" s="2"/>
      <c r="W1150" s="2"/>
      <c r="X1150" s="2"/>
      <c r="Y1150" s="2"/>
      <c r="Z1150" s="2"/>
      <c r="AA1150" s="2"/>
    </row>
    <row r="1151" spans="21:27" ht="20.100000000000001" customHeight="1" x14ac:dyDescent="0.2">
      <c r="U1151" s="2"/>
      <c r="V1151" s="2"/>
      <c r="W1151" s="2"/>
      <c r="X1151" s="2"/>
      <c r="Y1151" s="2"/>
      <c r="Z1151" s="2"/>
      <c r="AA1151" s="2"/>
    </row>
    <row r="1152" spans="21:27" ht="20.100000000000001" customHeight="1" x14ac:dyDescent="0.2">
      <c r="U1152" s="2"/>
      <c r="V1152" s="2"/>
      <c r="W1152" s="2"/>
      <c r="X1152" s="2"/>
      <c r="Y1152" s="2"/>
      <c r="Z1152" s="2"/>
      <c r="AA1152" s="2"/>
    </row>
    <row r="1153" spans="21:27" ht="20.100000000000001" customHeight="1" x14ac:dyDescent="0.2">
      <c r="U1153" s="2"/>
      <c r="V1153" s="2"/>
      <c r="W1153" s="2"/>
      <c r="X1153" s="2"/>
      <c r="Y1153" s="2"/>
      <c r="Z1153" s="2"/>
      <c r="AA1153" s="2"/>
    </row>
    <row r="1154" spans="21:27" ht="20.100000000000001" customHeight="1" x14ac:dyDescent="0.2">
      <c r="U1154" s="2"/>
      <c r="V1154" s="2"/>
      <c r="W1154" s="2"/>
      <c r="X1154" s="2"/>
      <c r="Y1154" s="2"/>
      <c r="Z1154" s="2"/>
      <c r="AA1154" s="2"/>
    </row>
    <row r="1155" spans="21:27" ht="20.100000000000001" customHeight="1" x14ac:dyDescent="0.2">
      <c r="U1155" s="2"/>
      <c r="V1155" s="2"/>
      <c r="W1155" s="2"/>
      <c r="X1155" s="2"/>
      <c r="Y1155" s="2"/>
      <c r="Z1155" s="2"/>
      <c r="AA1155" s="2"/>
    </row>
    <row r="1156" spans="21:27" ht="20.100000000000001" customHeight="1" x14ac:dyDescent="0.2">
      <c r="U1156" s="2"/>
      <c r="V1156" s="2"/>
      <c r="W1156" s="2"/>
      <c r="X1156" s="2"/>
      <c r="Y1156" s="2"/>
      <c r="Z1156" s="2"/>
      <c r="AA1156" s="2"/>
    </row>
    <row r="1157" spans="21:27" ht="20.100000000000001" customHeight="1" x14ac:dyDescent="0.2">
      <c r="U1157" s="2"/>
      <c r="V1157" s="2"/>
      <c r="W1157" s="2"/>
      <c r="X1157" s="2"/>
      <c r="Y1157" s="2"/>
      <c r="Z1157" s="2"/>
      <c r="AA1157" s="2"/>
    </row>
    <row r="1158" spans="21:27" ht="20.100000000000001" customHeight="1" x14ac:dyDescent="0.2">
      <c r="U1158" s="2"/>
      <c r="V1158" s="2"/>
      <c r="W1158" s="2"/>
      <c r="X1158" s="2"/>
      <c r="Y1158" s="2"/>
      <c r="Z1158" s="2"/>
      <c r="AA1158" s="2"/>
    </row>
    <row r="1159" spans="21:27" ht="20.100000000000001" customHeight="1" x14ac:dyDescent="0.2">
      <c r="U1159" s="2"/>
      <c r="V1159" s="2"/>
      <c r="W1159" s="2"/>
      <c r="X1159" s="2"/>
      <c r="Y1159" s="2"/>
      <c r="Z1159" s="2"/>
      <c r="AA1159" s="2"/>
    </row>
    <row r="1160" spans="21:27" ht="20.100000000000001" customHeight="1" x14ac:dyDescent="0.2">
      <c r="U1160" s="2"/>
      <c r="V1160" s="2"/>
      <c r="W1160" s="2"/>
      <c r="X1160" s="2"/>
      <c r="Y1160" s="2"/>
      <c r="Z1160" s="2"/>
      <c r="AA1160" s="2"/>
    </row>
    <row r="1161" spans="21:27" ht="20.100000000000001" customHeight="1" x14ac:dyDescent="0.2">
      <c r="U1161" s="2"/>
      <c r="V1161" s="2"/>
      <c r="W1161" s="2"/>
      <c r="X1161" s="2"/>
      <c r="Y1161" s="2"/>
      <c r="Z1161" s="2"/>
      <c r="AA1161" s="2"/>
    </row>
    <row r="1162" spans="21:27" ht="20.100000000000001" customHeight="1" x14ac:dyDescent="0.2">
      <c r="U1162" s="2"/>
      <c r="V1162" s="2"/>
      <c r="W1162" s="2"/>
      <c r="X1162" s="2"/>
      <c r="Y1162" s="2"/>
      <c r="Z1162" s="2"/>
      <c r="AA1162" s="2"/>
    </row>
    <row r="1163" spans="21:27" ht="20.100000000000001" customHeight="1" x14ac:dyDescent="0.2">
      <c r="U1163" s="2"/>
      <c r="V1163" s="2"/>
      <c r="W1163" s="2"/>
      <c r="X1163" s="2"/>
      <c r="Y1163" s="2"/>
      <c r="Z1163" s="2"/>
      <c r="AA1163" s="2"/>
    </row>
    <row r="1164" spans="21:27" ht="20.100000000000001" customHeight="1" x14ac:dyDescent="0.2">
      <c r="U1164" s="2"/>
      <c r="V1164" s="2"/>
      <c r="W1164" s="2"/>
      <c r="X1164" s="2"/>
      <c r="Y1164" s="2"/>
      <c r="Z1164" s="2"/>
      <c r="AA1164" s="2"/>
    </row>
    <row r="1165" spans="21:27" ht="20.100000000000001" customHeight="1" x14ac:dyDescent="0.2">
      <c r="U1165" s="2"/>
      <c r="V1165" s="2"/>
      <c r="W1165" s="2"/>
      <c r="X1165" s="2"/>
      <c r="Y1165" s="2"/>
      <c r="Z1165" s="2"/>
      <c r="AA1165" s="2"/>
    </row>
    <row r="1166" spans="21:27" ht="20.100000000000001" customHeight="1" x14ac:dyDescent="0.2">
      <c r="U1166" s="2"/>
      <c r="V1166" s="2"/>
      <c r="W1166" s="2"/>
      <c r="X1166" s="2"/>
      <c r="Y1166" s="2"/>
      <c r="Z1166" s="2"/>
      <c r="AA1166" s="2"/>
    </row>
    <row r="1167" spans="21:27" ht="20.100000000000001" customHeight="1" x14ac:dyDescent="0.2">
      <c r="U1167" s="2"/>
      <c r="V1167" s="2"/>
      <c r="W1167" s="2"/>
      <c r="X1167" s="2"/>
      <c r="Y1167" s="2"/>
      <c r="Z1167" s="2"/>
      <c r="AA1167" s="2"/>
    </row>
    <row r="1168" spans="21:27" ht="20.100000000000001" customHeight="1" x14ac:dyDescent="0.2">
      <c r="U1168" s="2"/>
      <c r="V1168" s="2"/>
      <c r="W1168" s="2"/>
      <c r="X1168" s="2"/>
      <c r="Y1168" s="2"/>
      <c r="Z1168" s="2"/>
      <c r="AA1168" s="2"/>
    </row>
    <row r="1169" spans="21:27" ht="20.100000000000001" customHeight="1" x14ac:dyDescent="0.2">
      <c r="U1169" s="2"/>
      <c r="V1169" s="2"/>
      <c r="W1169" s="2"/>
      <c r="X1169" s="2"/>
      <c r="Y1169" s="2"/>
      <c r="Z1169" s="2"/>
      <c r="AA1169" s="2"/>
    </row>
    <row r="1170" spans="21:27" ht="20.100000000000001" customHeight="1" x14ac:dyDescent="0.2">
      <c r="U1170" s="2"/>
      <c r="V1170" s="2"/>
      <c r="W1170" s="2"/>
      <c r="X1170" s="2"/>
      <c r="Y1170" s="2"/>
      <c r="Z1170" s="2"/>
      <c r="AA1170" s="2"/>
    </row>
    <row r="1171" spans="21:27" ht="20.100000000000001" customHeight="1" x14ac:dyDescent="0.2">
      <c r="U1171" s="2"/>
      <c r="V1171" s="2"/>
      <c r="W1171" s="2"/>
      <c r="X1171" s="2"/>
      <c r="Y1171" s="2"/>
      <c r="Z1171" s="2"/>
      <c r="AA1171" s="2"/>
    </row>
    <row r="1172" spans="21:27" ht="20.100000000000001" customHeight="1" x14ac:dyDescent="0.2">
      <c r="U1172" s="2"/>
      <c r="V1172" s="2"/>
      <c r="W1172" s="2"/>
      <c r="X1172" s="2"/>
      <c r="Y1172" s="2"/>
      <c r="Z1172" s="2"/>
      <c r="AA1172" s="2"/>
    </row>
    <row r="1173" spans="21:27" ht="20.100000000000001" customHeight="1" x14ac:dyDescent="0.2">
      <c r="U1173" s="2"/>
      <c r="V1173" s="2"/>
      <c r="W1173" s="2"/>
      <c r="X1173" s="2"/>
      <c r="Y1173" s="2"/>
      <c r="Z1173" s="2"/>
      <c r="AA1173" s="2"/>
    </row>
    <row r="1174" spans="21:27" ht="20.100000000000001" customHeight="1" x14ac:dyDescent="0.2">
      <c r="U1174" s="2"/>
      <c r="V1174" s="2"/>
      <c r="W1174" s="2"/>
      <c r="X1174" s="2"/>
      <c r="Y1174" s="2"/>
      <c r="Z1174" s="2"/>
      <c r="AA1174" s="2"/>
    </row>
    <row r="1175" spans="21:27" ht="20.100000000000001" customHeight="1" x14ac:dyDescent="0.2">
      <c r="U1175" s="2"/>
      <c r="V1175" s="2"/>
      <c r="W1175" s="2"/>
      <c r="X1175" s="2"/>
      <c r="Y1175" s="2"/>
      <c r="Z1175" s="2"/>
      <c r="AA1175" s="2"/>
    </row>
    <row r="1176" spans="21:27" ht="20.100000000000001" customHeight="1" x14ac:dyDescent="0.2">
      <c r="U1176" s="2"/>
      <c r="V1176" s="2"/>
      <c r="W1176" s="2"/>
      <c r="X1176" s="2"/>
      <c r="Y1176" s="2"/>
      <c r="Z1176" s="2"/>
      <c r="AA1176" s="2"/>
    </row>
    <row r="1177" spans="21:27" ht="20.100000000000001" customHeight="1" x14ac:dyDescent="0.2">
      <c r="U1177" s="2"/>
      <c r="V1177" s="2"/>
      <c r="W1177" s="2"/>
      <c r="X1177" s="2"/>
      <c r="Y1177" s="2"/>
      <c r="Z1177" s="2"/>
      <c r="AA1177" s="2"/>
    </row>
    <row r="1178" spans="21:27" ht="20.100000000000001" customHeight="1" x14ac:dyDescent="0.2">
      <c r="U1178" s="2"/>
      <c r="V1178" s="2"/>
      <c r="W1178" s="2"/>
      <c r="X1178" s="2"/>
      <c r="Y1178" s="2"/>
      <c r="Z1178" s="2"/>
      <c r="AA1178" s="2"/>
    </row>
    <row r="1179" spans="21:27" ht="20.100000000000001" customHeight="1" x14ac:dyDescent="0.2">
      <c r="U1179" s="2"/>
      <c r="V1179" s="2"/>
      <c r="W1179" s="2"/>
      <c r="X1179" s="2"/>
      <c r="Y1179" s="2"/>
      <c r="Z1179" s="2"/>
      <c r="AA1179" s="2"/>
    </row>
    <row r="1180" spans="21:27" ht="20.100000000000001" customHeight="1" x14ac:dyDescent="0.2">
      <c r="U1180" s="2"/>
      <c r="V1180" s="2"/>
      <c r="W1180" s="2"/>
      <c r="X1180" s="2"/>
      <c r="Y1180" s="2"/>
      <c r="Z1180" s="2"/>
      <c r="AA1180" s="2"/>
    </row>
    <row r="1181" spans="21:27" ht="20.100000000000001" customHeight="1" x14ac:dyDescent="0.2">
      <c r="U1181" s="2"/>
      <c r="V1181" s="2"/>
      <c r="W1181" s="2"/>
      <c r="X1181" s="2"/>
      <c r="Y1181" s="2"/>
      <c r="Z1181" s="2"/>
      <c r="AA1181" s="2"/>
    </row>
    <row r="1182" spans="21:27" ht="20.100000000000001" customHeight="1" x14ac:dyDescent="0.2">
      <c r="U1182" s="2"/>
      <c r="V1182" s="2"/>
      <c r="W1182" s="2"/>
      <c r="X1182" s="2"/>
      <c r="Y1182" s="2"/>
      <c r="Z1182" s="2"/>
      <c r="AA1182" s="2"/>
    </row>
    <row r="1183" spans="21:27" ht="20.100000000000001" customHeight="1" x14ac:dyDescent="0.2">
      <c r="U1183" s="2"/>
      <c r="V1183" s="2"/>
      <c r="W1183" s="2"/>
      <c r="X1183" s="2"/>
      <c r="Y1183" s="2"/>
      <c r="Z1183" s="2"/>
      <c r="AA1183" s="2"/>
    </row>
    <row r="1184" spans="21:27" ht="20.100000000000001" customHeight="1" x14ac:dyDescent="0.2">
      <c r="U1184" s="2"/>
      <c r="V1184" s="2"/>
      <c r="W1184" s="2"/>
      <c r="X1184" s="2"/>
      <c r="Y1184" s="2"/>
      <c r="Z1184" s="2"/>
      <c r="AA1184" s="2"/>
    </row>
    <row r="1185" spans="21:27" ht="20.100000000000001" customHeight="1" x14ac:dyDescent="0.2">
      <c r="U1185" s="2"/>
      <c r="V1185" s="2"/>
      <c r="W1185" s="2"/>
      <c r="X1185" s="2"/>
      <c r="Y1185" s="2"/>
      <c r="Z1185" s="2"/>
      <c r="AA1185" s="2"/>
    </row>
    <row r="1186" spans="21:27" ht="20.100000000000001" customHeight="1" x14ac:dyDescent="0.2">
      <c r="U1186" s="2"/>
      <c r="V1186" s="2"/>
      <c r="W1186" s="2"/>
      <c r="X1186" s="2"/>
      <c r="Y1186" s="2"/>
      <c r="Z1186" s="2"/>
      <c r="AA1186" s="2"/>
    </row>
    <row r="1187" spans="21:27" ht="20.100000000000001" customHeight="1" x14ac:dyDescent="0.2">
      <c r="U1187" s="2"/>
      <c r="V1187" s="2"/>
      <c r="W1187" s="2"/>
      <c r="X1187" s="2"/>
      <c r="Y1187" s="2"/>
      <c r="Z1187" s="2"/>
      <c r="AA1187" s="2"/>
    </row>
    <row r="1188" spans="21:27" ht="20.100000000000001" customHeight="1" x14ac:dyDescent="0.2">
      <c r="U1188" s="2"/>
      <c r="V1188" s="2"/>
      <c r="W1188" s="2"/>
      <c r="X1188" s="2"/>
      <c r="Y1188" s="2"/>
      <c r="Z1188" s="2"/>
      <c r="AA1188" s="2"/>
    </row>
    <row r="1189" spans="21:27" ht="20.100000000000001" customHeight="1" x14ac:dyDescent="0.2">
      <c r="U1189" s="2"/>
      <c r="V1189" s="2"/>
      <c r="W1189" s="2"/>
      <c r="X1189" s="2"/>
      <c r="Y1189" s="2"/>
      <c r="Z1189" s="2"/>
      <c r="AA1189" s="2"/>
    </row>
    <row r="1190" spans="21:27" ht="20.100000000000001" customHeight="1" x14ac:dyDescent="0.2">
      <c r="U1190" s="2"/>
      <c r="V1190" s="2"/>
      <c r="W1190" s="2"/>
      <c r="X1190" s="2"/>
      <c r="Y1190" s="2"/>
      <c r="Z1190" s="2"/>
      <c r="AA1190" s="2"/>
    </row>
    <row r="1191" spans="21:27" ht="20.100000000000001" customHeight="1" x14ac:dyDescent="0.2">
      <c r="U1191" s="2"/>
      <c r="V1191" s="2"/>
      <c r="W1191" s="2"/>
      <c r="X1191" s="2"/>
      <c r="Y1191" s="2"/>
      <c r="Z1191" s="2"/>
      <c r="AA1191" s="2"/>
    </row>
    <row r="1192" spans="21:27" ht="20.100000000000001" customHeight="1" x14ac:dyDescent="0.2">
      <c r="U1192" s="2"/>
      <c r="V1192" s="2"/>
      <c r="W1192" s="2"/>
      <c r="X1192" s="2"/>
      <c r="Y1192" s="2"/>
      <c r="Z1192" s="2"/>
      <c r="AA1192" s="2"/>
    </row>
    <row r="1193" spans="21:27" ht="20.100000000000001" customHeight="1" x14ac:dyDescent="0.2">
      <c r="U1193" s="2"/>
      <c r="V1193" s="2"/>
      <c r="W1193" s="2"/>
      <c r="X1193" s="2"/>
      <c r="Y1193" s="2"/>
      <c r="Z1193" s="2"/>
      <c r="AA1193" s="2"/>
    </row>
    <row r="1194" spans="21:27" ht="20.100000000000001" customHeight="1" x14ac:dyDescent="0.2">
      <c r="U1194" s="2"/>
      <c r="V1194" s="2"/>
      <c r="W1194" s="2"/>
      <c r="X1194" s="2"/>
      <c r="Y1194" s="2"/>
      <c r="Z1194" s="2"/>
      <c r="AA1194" s="2"/>
    </row>
    <row r="1195" spans="21:27" ht="20.100000000000001" customHeight="1" x14ac:dyDescent="0.2">
      <c r="U1195" s="2"/>
      <c r="V1195" s="2"/>
      <c r="W1195" s="2"/>
      <c r="X1195" s="2"/>
      <c r="Y1195" s="2"/>
      <c r="Z1195" s="2"/>
      <c r="AA1195" s="2"/>
    </row>
    <row r="1196" spans="21:27" ht="20.100000000000001" customHeight="1" x14ac:dyDescent="0.2">
      <c r="U1196" s="2"/>
      <c r="V1196" s="2"/>
      <c r="W1196" s="2"/>
      <c r="X1196" s="2"/>
      <c r="Y1196" s="2"/>
      <c r="Z1196" s="2"/>
      <c r="AA1196" s="2"/>
    </row>
    <row r="1197" spans="21:27" ht="20.100000000000001" customHeight="1" x14ac:dyDescent="0.2">
      <c r="U1197" s="2"/>
      <c r="V1197" s="2"/>
      <c r="W1197" s="2"/>
      <c r="X1197" s="2"/>
      <c r="Y1197" s="2"/>
      <c r="Z1197" s="2"/>
      <c r="AA1197" s="2"/>
    </row>
    <row r="1198" spans="21:27" ht="20.100000000000001" customHeight="1" x14ac:dyDescent="0.2">
      <c r="U1198" s="2"/>
      <c r="V1198" s="2"/>
      <c r="W1198" s="2"/>
      <c r="X1198" s="2"/>
      <c r="Y1198" s="2"/>
      <c r="Z1198" s="2"/>
      <c r="AA1198" s="2"/>
    </row>
    <row r="1199" spans="21:27" ht="20.100000000000001" customHeight="1" x14ac:dyDescent="0.2">
      <c r="U1199" s="2"/>
      <c r="V1199" s="2"/>
      <c r="W1199" s="2"/>
      <c r="X1199" s="2"/>
      <c r="Y1199" s="2"/>
      <c r="Z1199" s="2"/>
      <c r="AA1199" s="2"/>
    </row>
    <row r="1200" spans="21:27" ht="20.100000000000001" customHeight="1" x14ac:dyDescent="0.2">
      <c r="U1200" s="2"/>
      <c r="V1200" s="2"/>
      <c r="W1200" s="2"/>
      <c r="X1200" s="2"/>
      <c r="Y1200" s="2"/>
      <c r="Z1200" s="2"/>
      <c r="AA1200" s="2"/>
    </row>
    <row r="1201" spans="21:27" ht="20.100000000000001" customHeight="1" x14ac:dyDescent="0.2">
      <c r="U1201" s="2"/>
      <c r="V1201" s="2"/>
      <c r="W1201" s="2"/>
      <c r="X1201" s="2"/>
      <c r="Y1201" s="2"/>
      <c r="Z1201" s="2"/>
      <c r="AA1201" s="2"/>
    </row>
    <row r="1202" spans="21:27" ht="20.100000000000001" customHeight="1" x14ac:dyDescent="0.2">
      <c r="U1202" s="2"/>
      <c r="V1202" s="2"/>
      <c r="W1202" s="2"/>
      <c r="X1202" s="2"/>
      <c r="Y1202" s="2"/>
      <c r="Z1202" s="2"/>
      <c r="AA1202" s="2"/>
    </row>
    <row r="1203" spans="21:27" ht="20.100000000000001" customHeight="1" x14ac:dyDescent="0.2">
      <c r="U1203" s="2"/>
      <c r="V1203" s="2"/>
      <c r="W1203" s="2"/>
      <c r="X1203" s="2"/>
      <c r="Y1203" s="2"/>
      <c r="Z1203" s="2"/>
      <c r="AA1203" s="2"/>
    </row>
    <row r="1204" spans="21:27" ht="20.100000000000001" customHeight="1" x14ac:dyDescent="0.2">
      <c r="U1204" s="2"/>
      <c r="V1204" s="2"/>
      <c r="W1204" s="2"/>
      <c r="X1204" s="2"/>
      <c r="Y1204" s="2"/>
      <c r="Z1204" s="2"/>
      <c r="AA1204" s="2"/>
    </row>
    <row r="1205" spans="21:27" ht="20.100000000000001" customHeight="1" x14ac:dyDescent="0.2">
      <c r="U1205" s="2"/>
      <c r="V1205" s="2"/>
      <c r="W1205" s="2"/>
      <c r="X1205" s="2"/>
      <c r="Y1205" s="2"/>
      <c r="Z1205" s="2"/>
      <c r="AA1205" s="2"/>
    </row>
    <row r="1206" spans="21:27" ht="20.100000000000001" customHeight="1" x14ac:dyDescent="0.2">
      <c r="U1206" s="2"/>
      <c r="V1206" s="2"/>
      <c r="W1206" s="2"/>
      <c r="X1206" s="2"/>
      <c r="Y1206" s="2"/>
      <c r="Z1206" s="2"/>
      <c r="AA1206" s="2"/>
    </row>
    <row r="1207" spans="21:27" ht="20.100000000000001" customHeight="1" x14ac:dyDescent="0.2">
      <c r="U1207" s="2"/>
      <c r="V1207" s="2"/>
      <c r="W1207" s="2"/>
      <c r="X1207" s="2"/>
      <c r="Y1207" s="2"/>
      <c r="Z1207" s="2"/>
      <c r="AA1207" s="2"/>
    </row>
    <row r="1208" spans="21:27" ht="20.100000000000001" customHeight="1" x14ac:dyDescent="0.2">
      <c r="U1208" s="2"/>
      <c r="V1208" s="2"/>
      <c r="W1208" s="2"/>
      <c r="X1208" s="2"/>
      <c r="Y1208" s="2"/>
      <c r="Z1208" s="2"/>
      <c r="AA1208" s="2"/>
    </row>
    <row r="1209" spans="21:27" ht="20.100000000000001" customHeight="1" x14ac:dyDescent="0.2">
      <c r="U1209" s="2"/>
      <c r="V1209" s="2"/>
      <c r="W1209" s="2"/>
      <c r="X1209" s="2"/>
      <c r="Y1209" s="2"/>
      <c r="Z1209" s="2"/>
      <c r="AA1209" s="2"/>
    </row>
    <row r="1210" spans="21:27" ht="20.100000000000001" customHeight="1" x14ac:dyDescent="0.2">
      <c r="U1210" s="2"/>
      <c r="V1210" s="2"/>
      <c r="W1210" s="2"/>
      <c r="X1210" s="2"/>
      <c r="Y1210" s="2"/>
      <c r="Z1210" s="2"/>
      <c r="AA1210" s="2"/>
    </row>
    <row r="1211" spans="21:27" ht="20.100000000000001" customHeight="1" x14ac:dyDescent="0.2">
      <c r="U1211" s="2"/>
      <c r="V1211" s="2"/>
      <c r="W1211" s="2"/>
      <c r="X1211" s="2"/>
      <c r="Y1211" s="2"/>
      <c r="Z1211" s="2"/>
      <c r="AA1211" s="2"/>
    </row>
    <row r="1212" spans="21:27" ht="20.100000000000001" customHeight="1" x14ac:dyDescent="0.2">
      <c r="U1212" s="2"/>
      <c r="V1212" s="2"/>
      <c r="W1212" s="2"/>
      <c r="X1212" s="2"/>
      <c r="Y1212" s="2"/>
      <c r="Z1212" s="2"/>
      <c r="AA1212" s="2"/>
    </row>
    <row r="1213" spans="21:27" ht="20.100000000000001" customHeight="1" x14ac:dyDescent="0.2">
      <c r="U1213" s="2"/>
      <c r="V1213" s="2"/>
      <c r="W1213" s="2"/>
      <c r="X1213" s="2"/>
      <c r="Y1213" s="2"/>
      <c r="Z1213" s="2"/>
      <c r="AA1213" s="2"/>
    </row>
    <row r="1214" spans="21:27" ht="20.100000000000001" customHeight="1" x14ac:dyDescent="0.2">
      <c r="U1214" s="2"/>
      <c r="V1214" s="2"/>
      <c r="W1214" s="2"/>
      <c r="X1214" s="2"/>
      <c r="Y1214" s="2"/>
      <c r="Z1214" s="2"/>
      <c r="AA1214" s="2"/>
    </row>
    <row r="1215" spans="21:27" ht="20.100000000000001" customHeight="1" x14ac:dyDescent="0.2">
      <c r="U1215" s="2"/>
      <c r="V1215" s="2"/>
      <c r="W1215" s="2"/>
      <c r="X1215" s="2"/>
      <c r="Y1215" s="2"/>
      <c r="Z1215" s="2"/>
      <c r="AA1215" s="2"/>
    </row>
    <row r="1216" spans="21:27" ht="20.100000000000001" customHeight="1" x14ac:dyDescent="0.2">
      <c r="U1216" s="2"/>
      <c r="V1216" s="2"/>
      <c r="W1216" s="2"/>
      <c r="X1216" s="2"/>
      <c r="Y1216" s="2"/>
      <c r="Z1216" s="2"/>
      <c r="AA1216" s="2"/>
    </row>
    <row r="1217" spans="21:27" ht="20.100000000000001" customHeight="1" x14ac:dyDescent="0.2">
      <c r="U1217" s="2"/>
      <c r="V1217" s="2"/>
      <c r="W1217" s="2"/>
      <c r="X1217" s="2"/>
      <c r="Y1217" s="2"/>
      <c r="Z1217" s="2"/>
      <c r="AA1217" s="2"/>
    </row>
    <row r="1218" spans="21:27" ht="20.100000000000001" customHeight="1" x14ac:dyDescent="0.2">
      <c r="U1218" s="2"/>
      <c r="V1218" s="2"/>
      <c r="W1218" s="2"/>
      <c r="X1218" s="2"/>
      <c r="Y1218" s="2"/>
      <c r="Z1218" s="2"/>
      <c r="AA1218" s="2"/>
    </row>
    <row r="1219" spans="21:27" ht="20.100000000000001" customHeight="1" x14ac:dyDescent="0.2">
      <c r="U1219" s="2"/>
      <c r="V1219" s="2"/>
      <c r="W1219" s="2"/>
      <c r="X1219" s="2"/>
      <c r="Y1219" s="2"/>
      <c r="Z1219" s="2"/>
      <c r="AA1219" s="2"/>
    </row>
    <row r="1220" spans="21:27" ht="20.100000000000001" customHeight="1" x14ac:dyDescent="0.2">
      <c r="U1220" s="2"/>
      <c r="V1220" s="2"/>
      <c r="W1220" s="2"/>
      <c r="X1220" s="2"/>
      <c r="Y1220" s="2"/>
      <c r="Z1220" s="2"/>
      <c r="AA1220" s="2"/>
    </row>
    <row r="1221" spans="21:27" ht="20.100000000000001" customHeight="1" x14ac:dyDescent="0.2">
      <c r="U1221" s="2"/>
      <c r="V1221" s="2"/>
      <c r="W1221" s="2"/>
      <c r="X1221" s="2"/>
      <c r="Y1221" s="2"/>
      <c r="Z1221" s="2"/>
      <c r="AA1221" s="2"/>
    </row>
    <row r="1222" spans="21:27" ht="20.100000000000001" customHeight="1" x14ac:dyDescent="0.2">
      <c r="U1222" s="2"/>
      <c r="V1222" s="2"/>
      <c r="W1222" s="2"/>
      <c r="X1222" s="2"/>
      <c r="Y1222" s="2"/>
      <c r="Z1222" s="2"/>
      <c r="AA1222" s="2"/>
    </row>
    <row r="1223" spans="21:27" ht="20.100000000000001" customHeight="1" x14ac:dyDescent="0.2">
      <c r="U1223" s="2"/>
      <c r="V1223" s="2"/>
      <c r="W1223" s="2"/>
      <c r="X1223" s="2"/>
      <c r="Y1223" s="2"/>
      <c r="Z1223" s="2"/>
      <c r="AA1223" s="2"/>
    </row>
    <row r="1224" spans="21:27" ht="20.100000000000001" customHeight="1" x14ac:dyDescent="0.2">
      <c r="U1224" s="2"/>
      <c r="V1224" s="2"/>
      <c r="W1224" s="2"/>
      <c r="X1224" s="2"/>
      <c r="Y1224" s="2"/>
      <c r="Z1224" s="2"/>
      <c r="AA1224" s="2"/>
    </row>
    <row r="1225" spans="21:27" ht="20.100000000000001" customHeight="1" x14ac:dyDescent="0.2">
      <c r="U1225" s="2"/>
      <c r="V1225" s="2"/>
      <c r="W1225" s="2"/>
      <c r="X1225" s="2"/>
      <c r="Y1225" s="2"/>
      <c r="Z1225" s="2"/>
      <c r="AA1225" s="2"/>
    </row>
    <row r="1226" spans="21:27" ht="20.100000000000001" customHeight="1" x14ac:dyDescent="0.2">
      <c r="U1226" s="2"/>
      <c r="V1226" s="2"/>
      <c r="W1226" s="2"/>
      <c r="X1226" s="2"/>
      <c r="Y1226" s="2"/>
      <c r="Z1226" s="2"/>
      <c r="AA1226" s="2"/>
    </row>
    <row r="1227" spans="21:27" ht="20.100000000000001" customHeight="1" x14ac:dyDescent="0.2">
      <c r="U1227" s="2"/>
      <c r="V1227" s="2"/>
      <c r="W1227" s="2"/>
      <c r="X1227" s="2"/>
      <c r="Y1227" s="2"/>
      <c r="Z1227" s="2"/>
      <c r="AA1227" s="2"/>
    </row>
    <row r="1228" spans="21:27" ht="20.100000000000001" customHeight="1" x14ac:dyDescent="0.2">
      <c r="U1228" s="2"/>
      <c r="V1228" s="2"/>
      <c r="W1228" s="2"/>
      <c r="X1228" s="2"/>
      <c r="Y1228" s="2"/>
      <c r="Z1228" s="2"/>
      <c r="AA1228" s="2"/>
    </row>
    <row r="1229" spans="21:27" ht="20.100000000000001" customHeight="1" x14ac:dyDescent="0.2">
      <c r="U1229" s="2"/>
      <c r="V1229" s="2"/>
      <c r="W1229" s="2"/>
      <c r="X1229" s="2"/>
      <c r="Y1229" s="2"/>
      <c r="Z1229" s="2"/>
      <c r="AA1229" s="2"/>
    </row>
    <row r="1230" spans="21:27" ht="20.100000000000001" customHeight="1" x14ac:dyDescent="0.2">
      <c r="U1230" s="2"/>
      <c r="V1230" s="2"/>
      <c r="W1230" s="2"/>
      <c r="X1230" s="2"/>
      <c r="Y1230" s="2"/>
      <c r="Z1230" s="2"/>
      <c r="AA1230" s="2"/>
    </row>
    <row r="1231" spans="21:27" ht="20.100000000000001" customHeight="1" x14ac:dyDescent="0.2">
      <c r="U1231" s="2"/>
      <c r="V1231" s="2"/>
      <c r="W1231" s="2"/>
      <c r="X1231" s="2"/>
      <c r="Y1231" s="2"/>
      <c r="Z1231" s="2"/>
      <c r="AA1231" s="2"/>
    </row>
    <row r="1232" spans="21:27" ht="20.100000000000001" customHeight="1" x14ac:dyDescent="0.2">
      <c r="U1232" s="2"/>
      <c r="V1232" s="2"/>
      <c r="W1232" s="2"/>
      <c r="X1232" s="2"/>
      <c r="Y1232" s="2"/>
      <c r="Z1232" s="2"/>
      <c r="AA1232" s="2"/>
    </row>
    <row r="1233" spans="21:27" ht="20.100000000000001" customHeight="1" x14ac:dyDescent="0.2">
      <c r="U1233" s="2"/>
      <c r="V1233" s="2"/>
      <c r="W1233" s="2"/>
      <c r="X1233" s="2"/>
      <c r="Y1233" s="2"/>
      <c r="Z1233" s="2"/>
      <c r="AA1233" s="2"/>
    </row>
    <row r="1234" spans="21:27" ht="20.100000000000001" customHeight="1" x14ac:dyDescent="0.2">
      <c r="U1234" s="2"/>
      <c r="V1234" s="2"/>
      <c r="W1234" s="2"/>
      <c r="X1234" s="2"/>
      <c r="Y1234" s="2"/>
      <c r="Z1234" s="2"/>
      <c r="AA1234" s="2"/>
    </row>
    <row r="1235" spans="21:27" ht="20.100000000000001" customHeight="1" x14ac:dyDescent="0.2">
      <c r="U1235" s="2"/>
      <c r="V1235" s="2"/>
      <c r="W1235" s="2"/>
      <c r="X1235" s="2"/>
      <c r="Y1235" s="2"/>
      <c r="Z1235" s="2"/>
      <c r="AA1235" s="2"/>
    </row>
    <row r="1236" spans="21:27" ht="20.100000000000001" customHeight="1" x14ac:dyDescent="0.2">
      <c r="U1236" s="2"/>
      <c r="V1236" s="2"/>
      <c r="W1236" s="2"/>
      <c r="X1236" s="2"/>
      <c r="Y1236" s="2"/>
      <c r="Z1236" s="2"/>
      <c r="AA1236" s="2"/>
    </row>
    <row r="1237" spans="21:27" ht="20.100000000000001" customHeight="1" x14ac:dyDescent="0.2">
      <c r="U1237" s="2"/>
      <c r="V1237" s="2"/>
      <c r="W1237" s="2"/>
      <c r="X1237" s="2"/>
      <c r="Y1237" s="2"/>
      <c r="Z1237" s="2"/>
      <c r="AA1237" s="2"/>
    </row>
    <row r="1238" spans="21:27" ht="20.100000000000001" customHeight="1" x14ac:dyDescent="0.2">
      <c r="U1238" s="2"/>
      <c r="V1238" s="2"/>
      <c r="W1238" s="2"/>
      <c r="X1238" s="2"/>
      <c r="Y1238" s="2"/>
      <c r="Z1238" s="2"/>
      <c r="AA1238" s="2"/>
    </row>
    <row r="1239" spans="21:27" ht="20.100000000000001" customHeight="1" x14ac:dyDescent="0.2">
      <c r="U1239" s="2"/>
      <c r="V1239" s="2"/>
      <c r="W1239" s="2"/>
      <c r="X1239" s="2"/>
      <c r="Y1239" s="2"/>
      <c r="Z1239" s="2"/>
      <c r="AA1239" s="2"/>
    </row>
    <row r="1240" spans="21:27" ht="20.100000000000001" customHeight="1" x14ac:dyDescent="0.2">
      <c r="U1240" s="2"/>
      <c r="V1240" s="2"/>
      <c r="W1240" s="2"/>
      <c r="X1240" s="2"/>
      <c r="Y1240" s="2"/>
      <c r="Z1240" s="2"/>
      <c r="AA1240" s="2"/>
    </row>
    <row r="1241" spans="21:27" ht="20.100000000000001" customHeight="1" x14ac:dyDescent="0.2">
      <c r="U1241" s="2"/>
      <c r="V1241" s="2"/>
      <c r="W1241" s="2"/>
      <c r="X1241" s="2"/>
      <c r="Y1241" s="2"/>
      <c r="Z1241" s="2"/>
      <c r="AA1241" s="2"/>
    </row>
    <row r="1242" spans="21:27" ht="20.100000000000001" customHeight="1" x14ac:dyDescent="0.2">
      <c r="U1242" s="2"/>
      <c r="V1242" s="2"/>
      <c r="W1242" s="2"/>
      <c r="X1242" s="2"/>
      <c r="Y1242" s="2"/>
      <c r="Z1242" s="2"/>
      <c r="AA1242" s="2"/>
    </row>
    <row r="1243" spans="21:27" ht="20.100000000000001" customHeight="1" x14ac:dyDescent="0.2">
      <c r="U1243" s="2"/>
      <c r="V1243" s="2"/>
      <c r="W1243" s="2"/>
      <c r="X1243" s="2"/>
      <c r="Y1243" s="2"/>
      <c r="Z1243" s="2"/>
      <c r="AA1243" s="2"/>
    </row>
    <row r="1244" spans="21:27" ht="20.100000000000001" customHeight="1" x14ac:dyDescent="0.2">
      <c r="U1244" s="2"/>
      <c r="V1244" s="2"/>
      <c r="W1244" s="2"/>
      <c r="X1244" s="2"/>
      <c r="Y1244" s="2"/>
      <c r="Z1244" s="2"/>
      <c r="AA1244" s="2"/>
    </row>
    <row r="1245" spans="21:27" ht="20.100000000000001" customHeight="1" x14ac:dyDescent="0.2">
      <c r="U1245" s="2"/>
      <c r="V1245" s="2"/>
      <c r="W1245" s="2"/>
      <c r="X1245" s="2"/>
      <c r="Y1245" s="2"/>
      <c r="Z1245" s="2"/>
      <c r="AA1245" s="2"/>
    </row>
    <row r="1246" spans="21:27" ht="20.100000000000001" customHeight="1" x14ac:dyDescent="0.2">
      <c r="U1246" s="2"/>
      <c r="V1246" s="2"/>
      <c r="W1246" s="2"/>
      <c r="X1246" s="2"/>
      <c r="Y1246" s="2"/>
      <c r="Z1246" s="2"/>
      <c r="AA1246" s="2"/>
    </row>
    <row r="1247" spans="21:27" ht="20.100000000000001" customHeight="1" x14ac:dyDescent="0.2">
      <c r="U1247" s="2"/>
      <c r="V1247" s="2"/>
      <c r="W1247" s="2"/>
      <c r="X1247" s="2"/>
      <c r="Y1247" s="2"/>
      <c r="Z1247" s="2"/>
      <c r="AA1247" s="2"/>
    </row>
    <row r="1248" spans="21:27" ht="20.100000000000001" customHeight="1" x14ac:dyDescent="0.2">
      <c r="U1248" s="2"/>
      <c r="V1248" s="2"/>
      <c r="W1248" s="2"/>
      <c r="X1248" s="2"/>
      <c r="Y1248" s="2"/>
      <c r="Z1248" s="2"/>
      <c r="AA1248" s="2"/>
    </row>
    <row r="1249" spans="21:27" ht="20.100000000000001" customHeight="1" x14ac:dyDescent="0.2">
      <c r="U1249" s="2"/>
      <c r="V1249" s="2"/>
      <c r="W1249" s="2"/>
      <c r="X1249" s="2"/>
      <c r="Y1249" s="2"/>
      <c r="Z1249" s="2"/>
      <c r="AA1249" s="2"/>
    </row>
    <row r="1250" spans="21:27" ht="20.100000000000001" customHeight="1" x14ac:dyDescent="0.2">
      <c r="U1250" s="2"/>
      <c r="V1250" s="2"/>
      <c r="W1250" s="2"/>
      <c r="X1250" s="2"/>
      <c r="Y1250" s="2"/>
      <c r="Z1250" s="2"/>
      <c r="AA1250" s="2"/>
    </row>
    <row r="1251" spans="21:27" ht="20.100000000000001" customHeight="1" x14ac:dyDescent="0.2">
      <c r="U1251" s="2"/>
      <c r="V1251" s="2"/>
      <c r="W1251" s="2"/>
      <c r="X1251" s="2"/>
      <c r="Y1251" s="2"/>
      <c r="Z1251" s="2"/>
      <c r="AA1251" s="2"/>
    </row>
    <row r="1252" spans="21:27" ht="20.100000000000001" customHeight="1" x14ac:dyDescent="0.2">
      <c r="U1252" s="2"/>
      <c r="V1252" s="2"/>
      <c r="W1252" s="2"/>
      <c r="X1252" s="2"/>
      <c r="Y1252" s="2"/>
      <c r="Z1252" s="2"/>
      <c r="AA1252" s="2"/>
    </row>
    <row r="1253" spans="21:27" ht="20.100000000000001" customHeight="1" x14ac:dyDescent="0.2">
      <c r="U1253" s="2"/>
      <c r="V1253" s="2"/>
      <c r="W1253" s="2"/>
      <c r="X1253" s="2"/>
      <c r="Y1253" s="2"/>
      <c r="Z1253" s="2"/>
      <c r="AA1253" s="2"/>
    </row>
    <row r="1254" spans="21:27" ht="20.100000000000001" customHeight="1" x14ac:dyDescent="0.2">
      <c r="U1254" s="2"/>
      <c r="V1254" s="2"/>
      <c r="W1254" s="2"/>
      <c r="X1254" s="2"/>
      <c r="Y1254" s="2"/>
      <c r="Z1254" s="2"/>
      <c r="AA1254" s="2"/>
    </row>
    <row r="1255" spans="21:27" ht="20.100000000000001" customHeight="1" x14ac:dyDescent="0.2">
      <c r="U1255" s="2"/>
      <c r="V1255" s="2"/>
      <c r="W1255" s="2"/>
      <c r="X1255" s="2"/>
      <c r="Y1255" s="2"/>
      <c r="Z1255" s="2"/>
      <c r="AA1255" s="2"/>
    </row>
    <row r="1256" spans="21:27" ht="20.100000000000001" customHeight="1" x14ac:dyDescent="0.2">
      <c r="U1256" s="2"/>
      <c r="V1256" s="2"/>
      <c r="W1256" s="2"/>
      <c r="X1256" s="2"/>
      <c r="Y1256" s="2"/>
      <c r="Z1256" s="2"/>
      <c r="AA1256" s="2"/>
    </row>
    <row r="1257" spans="21:27" ht="20.100000000000001" customHeight="1" x14ac:dyDescent="0.2">
      <c r="U1257" s="2"/>
      <c r="V1257" s="2"/>
      <c r="W1257" s="2"/>
      <c r="X1257" s="2"/>
      <c r="Y1257" s="2"/>
      <c r="Z1257" s="2"/>
      <c r="AA1257" s="2"/>
    </row>
    <row r="1258" spans="21:27" ht="20.100000000000001" customHeight="1" x14ac:dyDescent="0.2">
      <c r="U1258" s="2"/>
      <c r="V1258" s="2"/>
      <c r="W1258" s="2"/>
      <c r="X1258" s="2"/>
      <c r="Y1258" s="2"/>
      <c r="Z1258" s="2"/>
      <c r="AA1258" s="2"/>
    </row>
    <row r="1259" spans="21:27" ht="20.100000000000001" customHeight="1" x14ac:dyDescent="0.2">
      <c r="U1259" s="2"/>
      <c r="V1259" s="2"/>
      <c r="W1259" s="2"/>
      <c r="X1259" s="2"/>
      <c r="Y1259" s="2"/>
      <c r="Z1259" s="2"/>
      <c r="AA1259" s="2"/>
    </row>
    <row r="1260" spans="21:27" ht="20.100000000000001" customHeight="1" x14ac:dyDescent="0.2">
      <c r="U1260" s="2"/>
      <c r="V1260" s="2"/>
      <c r="W1260" s="2"/>
      <c r="X1260" s="2"/>
      <c r="Y1260" s="2"/>
      <c r="Z1260" s="2"/>
      <c r="AA1260" s="2"/>
    </row>
    <row r="1261" spans="21:27" ht="20.100000000000001" customHeight="1" x14ac:dyDescent="0.2">
      <c r="U1261" s="2"/>
      <c r="V1261" s="2"/>
      <c r="W1261" s="2"/>
      <c r="X1261" s="2"/>
      <c r="Y1261" s="2"/>
      <c r="Z1261" s="2"/>
      <c r="AA1261" s="2"/>
    </row>
    <row r="1262" spans="21:27" ht="20.100000000000001" customHeight="1" x14ac:dyDescent="0.2">
      <c r="U1262" s="2"/>
      <c r="V1262" s="2"/>
      <c r="W1262" s="2"/>
      <c r="X1262" s="2"/>
      <c r="Y1262" s="2"/>
      <c r="Z1262" s="2"/>
      <c r="AA1262" s="2"/>
    </row>
    <row r="1263" spans="21:27" ht="20.100000000000001" customHeight="1" x14ac:dyDescent="0.2">
      <c r="U1263" s="2"/>
      <c r="V1263" s="2"/>
      <c r="W1263" s="2"/>
      <c r="X1263" s="2"/>
      <c r="Y1263" s="2"/>
      <c r="Z1263" s="2"/>
      <c r="AA1263" s="2"/>
    </row>
    <row r="1264" spans="21:27" ht="20.100000000000001" customHeight="1" x14ac:dyDescent="0.2">
      <c r="U1264" s="2"/>
      <c r="V1264" s="2"/>
      <c r="W1264" s="2"/>
      <c r="X1264" s="2"/>
      <c r="Y1264" s="2"/>
      <c r="Z1264" s="2"/>
      <c r="AA1264" s="2"/>
    </row>
    <row r="1265" spans="21:27" ht="20.100000000000001" customHeight="1" x14ac:dyDescent="0.2">
      <c r="U1265" s="2"/>
      <c r="V1265" s="2"/>
      <c r="W1265" s="2"/>
      <c r="X1265" s="2"/>
      <c r="Y1265" s="2"/>
      <c r="Z1265" s="2"/>
      <c r="AA1265" s="2"/>
    </row>
    <row r="1266" spans="21:27" ht="20.100000000000001" customHeight="1" x14ac:dyDescent="0.2">
      <c r="U1266" s="2"/>
      <c r="V1266" s="2"/>
      <c r="W1266" s="2"/>
      <c r="X1266" s="2"/>
      <c r="Y1266" s="2"/>
      <c r="Z1266" s="2"/>
      <c r="AA1266" s="2"/>
    </row>
    <row r="1267" spans="21:27" ht="20.100000000000001" customHeight="1" x14ac:dyDescent="0.2">
      <c r="U1267" s="2"/>
      <c r="V1267" s="2"/>
      <c r="W1267" s="2"/>
      <c r="X1267" s="2"/>
      <c r="Y1267" s="2"/>
      <c r="Z1267" s="2"/>
      <c r="AA1267" s="2"/>
    </row>
    <row r="1268" spans="21:27" ht="20.100000000000001" customHeight="1" x14ac:dyDescent="0.2">
      <c r="U1268" s="2"/>
      <c r="V1268" s="2"/>
      <c r="W1268" s="2"/>
      <c r="X1268" s="2"/>
      <c r="Y1268" s="2"/>
      <c r="Z1268" s="2"/>
      <c r="AA1268" s="2"/>
    </row>
    <row r="1269" spans="21:27" ht="20.100000000000001" customHeight="1" x14ac:dyDescent="0.2">
      <c r="U1269" s="2"/>
      <c r="V1269" s="2"/>
      <c r="W1269" s="2"/>
      <c r="X1269" s="2"/>
      <c r="Y1269" s="2"/>
      <c r="Z1269" s="2"/>
      <c r="AA1269" s="2"/>
    </row>
    <row r="1270" spans="21:27" ht="20.100000000000001" customHeight="1" x14ac:dyDescent="0.2">
      <c r="U1270" s="2"/>
      <c r="V1270" s="2"/>
      <c r="W1270" s="2"/>
      <c r="X1270" s="2"/>
      <c r="Y1270" s="2"/>
      <c r="Z1270" s="2"/>
      <c r="AA1270" s="2"/>
    </row>
    <row r="1271" spans="21:27" ht="20.100000000000001" customHeight="1" x14ac:dyDescent="0.2">
      <c r="U1271" s="2"/>
      <c r="V1271" s="2"/>
      <c r="W1271" s="2"/>
      <c r="X1271" s="2"/>
      <c r="Y1271" s="2"/>
      <c r="Z1271" s="2"/>
      <c r="AA1271" s="2"/>
    </row>
    <row r="1272" spans="21:27" ht="20.100000000000001" customHeight="1" x14ac:dyDescent="0.2">
      <c r="U1272" s="2"/>
      <c r="V1272" s="2"/>
      <c r="W1272" s="2"/>
      <c r="X1272" s="2"/>
      <c r="Y1272" s="2"/>
      <c r="Z1272" s="2"/>
      <c r="AA1272" s="2"/>
    </row>
    <row r="1273" spans="21:27" ht="20.100000000000001" customHeight="1" x14ac:dyDescent="0.2">
      <c r="U1273" s="2"/>
      <c r="V1273" s="2"/>
      <c r="W1273" s="2"/>
      <c r="X1273" s="2"/>
      <c r="Y1273" s="2"/>
      <c r="Z1273" s="2"/>
      <c r="AA1273" s="2"/>
    </row>
    <row r="1274" spans="21:27" ht="20.100000000000001" customHeight="1" x14ac:dyDescent="0.2">
      <c r="U1274" s="2"/>
      <c r="V1274" s="2"/>
      <c r="W1274" s="2"/>
      <c r="X1274" s="2"/>
      <c r="Y1274" s="2"/>
      <c r="Z1274" s="2"/>
      <c r="AA1274" s="2"/>
    </row>
    <row r="1275" spans="21:27" ht="20.100000000000001" customHeight="1" x14ac:dyDescent="0.2">
      <c r="U1275" s="2"/>
      <c r="V1275" s="2"/>
      <c r="W1275" s="2"/>
      <c r="X1275" s="2"/>
      <c r="Y1275" s="2"/>
      <c r="Z1275" s="2"/>
      <c r="AA1275" s="2"/>
    </row>
    <row r="1276" spans="21:27" ht="20.100000000000001" customHeight="1" x14ac:dyDescent="0.2">
      <c r="U1276" s="2"/>
      <c r="V1276" s="2"/>
      <c r="W1276" s="2"/>
      <c r="X1276" s="2"/>
      <c r="Y1276" s="2"/>
      <c r="Z1276" s="2"/>
      <c r="AA1276" s="2"/>
    </row>
    <row r="1277" spans="21:27" ht="20.100000000000001" customHeight="1" x14ac:dyDescent="0.2">
      <c r="U1277" s="2"/>
      <c r="V1277" s="2"/>
      <c r="W1277" s="2"/>
      <c r="X1277" s="2"/>
      <c r="Y1277" s="2"/>
      <c r="Z1277" s="2"/>
      <c r="AA1277" s="2"/>
    </row>
    <row r="1278" spans="21:27" ht="20.100000000000001" customHeight="1" x14ac:dyDescent="0.2">
      <c r="U1278" s="2"/>
      <c r="V1278" s="2"/>
      <c r="W1278" s="2"/>
      <c r="X1278" s="2"/>
      <c r="Y1278" s="2"/>
      <c r="Z1278" s="2"/>
      <c r="AA1278" s="2"/>
    </row>
    <row r="1279" spans="21:27" ht="20.100000000000001" customHeight="1" x14ac:dyDescent="0.2">
      <c r="U1279" s="2"/>
      <c r="V1279" s="2"/>
      <c r="W1279" s="2"/>
      <c r="X1279" s="2"/>
      <c r="Y1279" s="2"/>
      <c r="Z1279" s="2"/>
      <c r="AA1279" s="2"/>
    </row>
    <row r="1280" spans="21:27" ht="20.100000000000001" customHeight="1" x14ac:dyDescent="0.2">
      <c r="U1280" s="2"/>
      <c r="V1280" s="2"/>
      <c r="W1280" s="2"/>
      <c r="X1280" s="2"/>
      <c r="Y1280" s="2"/>
      <c r="Z1280" s="2"/>
      <c r="AA1280" s="2"/>
    </row>
    <row r="1281" spans="21:27" ht="20.100000000000001" customHeight="1" x14ac:dyDescent="0.2">
      <c r="U1281" s="2"/>
      <c r="V1281" s="2"/>
      <c r="W1281" s="2"/>
      <c r="X1281" s="2"/>
      <c r="Y1281" s="2"/>
      <c r="Z1281" s="2"/>
      <c r="AA1281" s="2"/>
    </row>
    <row r="1282" spans="21:27" ht="20.100000000000001" customHeight="1" x14ac:dyDescent="0.2">
      <c r="U1282" s="2"/>
      <c r="V1282" s="2"/>
      <c r="W1282" s="2"/>
      <c r="X1282" s="2"/>
      <c r="Y1282" s="2"/>
      <c r="Z1282" s="2"/>
      <c r="AA1282" s="2"/>
    </row>
    <row r="1283" spans="21:27" ht="20.100000000000001" customHeight="1" x14ac:dyDescent="0.2">
      <c r="U1283" s="2"/>
      <c r="V1283" s="2"/>
      <c r="W1283" s="2"/>
      <c r="X1283" s="2"/>
      <c r="Y1283" s="2"/>
      <c r="Z1283" s="2"/>
      <c r="AA1283" s="2"/>
    </row>
    <row r="1284" spans="21:27" ht="20.100000000000001" customHeight="1" x14ac:dyDescent="0.2">
      <c r="U1284" s="2"/>
      <c r="V1284" s="2"/>
      <c r="W1284" s="2"/>
      <c r="X1284" s="2"/>
      <c r="Y1284" s="2"/>
      <c r="Z1284" s="2"/>
      <c r="AA1284" s="2"/>
    </row>
    <row r="1285" spans="21:27" ht="20.100000000000001" customHeight="1" x14ac:dyDescent="0.2">
      <c r="U1285" s="2"/>
      <c r="V1285" s="2"/>
      <c r="W1285" s="2"/>
      <c r="X1285" s="2"/>
      <c r="Y1285" s="2"/>
      <c r="Z1285" s="2"/>
      <c r="AA1285" s="2"/>
    </row>
    <row r="1286" spans="21:27" ht="20.100000000000001" customHeight="1" x14ac:dyDescent="0.2">
      <c r="U1286" s="2"/>
      <c r="V1286" s="2"/>
      <c r="W1286" s="2"/>
      <c r="X1286" s="2"/>
      <c r="Y1286" s="2"/>
      <c r="Z1286" s="2"/>
      <c r="AA1286" s="2"/>
    </row>
    <row r="1287" spans="21:27" ht="20.100000000000001" customHeight="1" x14ac:dyDescent="0.2">
      <c r="U1287" s="2"/>
      <c r="V1287" s="2"/>
      <c r="W1287" s="2"/>
      <c r="X1287" s="2"/>
      <c r="Y1287" s="2"/>
      <c r="Z1287" s="2"/>
      <c r="AA1287" s="2"/>
    </row>
    <row r="1288" spans="21:27" ht="20.100000000000001" customHeight="1" x14ac:dyDescent="0.2">
      <c r="U1288" s="2"/>
      <c r="V1288" s="2"/>
      <c r="W1288" s="2"/>
      <c r="X1288" s="2"/>
      <c r="Y1288" s="2"/>
      <c r="Z1288" s="2"/>
      <c r="AA1288" s="2"/>
    </row>
    <row r="1289" spans="21:27" ht="20.100000000000001" customHeight="1" x14ac:dyDescent="0.2">
      <c r="U1289" s="2"/>
      <c r="V1289" s="2"/>
      <c r="W1289" s="2"/>
      <c r="X1289" s="2"/>
      <c r="Y1289" s="2"/>
      <c r="Z1289" s="2"/>
      <c r="AA1289" s="2"/>
    </row>
    <row r="1290" spans="21:27" ht="20.100000000000001" customHeight="1" x14ac:dyDescent="0.2">
      <c r="U1290" s="2"/>
      <c r="V1290" s="2"/>
      <c r="W1290" s="2"/>
      <c r="X1290" s="2"/>
      <c r="Y1290" s="2"/>
      <c r="Z1290" s="2"/>
      <c r="AA1290" s="2"/>
    </row>
    <row r="1291" spans="21:27" ht="20.100000000000001" customHeight="1" x14ac:dyDescent="0.2">
      <c r="U1291" s="2"/>
      <c r="V1291" s="2"/>
      <c r="W1291" s="2"/>
      <c r="X1291" s="2"/>
      <c r="Y1291" s="2"/>
      <c r="Z1291" s="2"/>
      <c r="AA1291" s="2"/>
    </row>
    <row r="1292" spans="21:27" ht="20.100000000000001" customHeight="1" x14ac:dyDescent="0.2">
      <c r="U1292" s="2"/>
      <c r="V1292" s="2"/>
      <c r="W1292" s="2"/>
      <c r="X1292" s="2"/>
      <c r="Y1292" s="2"/>
      <c r="Z1292" s="2"/>
      <c r="AA1292" s="2"/>
    </row>
    <row r="1293" spans="21:27" ht="20.100000000000001" customHeight="1" x14ac:dyDescent="0.2">
      <c r="U1293" s="2"/>
      <c r="V1293" s="2"/>
      <c r="W1293" s="2"/>
      <c r="X1293" s="2"/>
      <c r="Y1293" s="2"/>
      <c r="Z1293" s="2"/>
      <c r="AA1293" s="2"/>
    </row>
    <row r="1294" spans="21:27" ht="20.100000000000001" customHeight="1" x14ac:dyDescent="0.2">
      <c r="U1294" s="2"/>
      <c r="V1294" s="2"/>
      <c r="W1294" s="2"/>
      <c r="X1294" s="2"/>
      <c r="Y1294" s="2"/>
      <c r="Z1294" s="2"/>
      <c r="AA1294" s="2"/>
    </row>
    <row r="1295" spans="21:27" ht="20.100000000000001" customHeight="1" x14ac:dyDescent="0.2">
      <c r="U1295" s="2"/>
      <c r="V1295" s="2"/>
      <c r="W1295" s="2"/>
      <c r="X1295" s="2"/>
      <c r="Y1295" s="2"/>
      <c r="Z1295" s="2"/>
      <c r="AA1295" s="2"/>
    </row>
    <row r="1296" spans="21:27" ht="20.100000000000001" customHeight="1" x14ac:dyDescent="0.2">
      <c r="U1296" s="2"/>
      <c r="V1296" s="2"/>
      <c r="W1296" s="2"/>
      <c r="X1296" s="2"/>
      <c r="Y1296" s="2"/>
      <c r="Z1296" s="2"/>
      <c r="AA1296" s="2"/>
    </row>
    <row r="1297" spans="21:27" ht="20.100000000000001" customHeight="1" x14ac:dyDescent="0.2">
      <c r="U1297" s="2"/>
      <c r="V1297" s="2"/>
      <c r="W1297" s="2"/>
      <c r="X1297" s="2"/>
      <c r="Y1297" s="2"/>
      <c r="Z1297" s="2"/>
      <c r="AA1297" s="2"/>
    </row>
    <row r="1298" spans="21:27" ht="20.100000000000001" customHeight="1" x14ac:dyDescent="0.2">
      <c r="U1298" s="2"/>
      <c r="V1298" s="2"/>
      <c r="W1298" s="2"/>
      <c r="X1298" s="2"/>
      <c r="Y1298" s="2"/>
      <c r="Z1298" s="2"/>
      <c r="AA1298" s="2"/>
    </row>
    <row r="1299" spans="21:27" ht="20.100000000000001" customHeight="1" x14ac:dyDescent="0.2">
      <c r="U1299" s="2"/>
      <c r="V1299" s="2"/>
      <c r="W1299" s="2"/>
      <c r="X1299" s="2"/>
      <c r="Y1299" s="2"/>
      <c r="Z1299" s="2"/>
      <c r="AA1299" s="2"/>
    </row>
    <row r="1300" spans="21:27" ht="20.100000000000001" customHeight="1" x14ac:dyDescent="0.2">
      <c r="U1300" s="2"/>
      <c r="V1300" s="2"/>
      <c r="W1300" s="2"/>
      <c r="X1300" s="2"/>
      <c r="Y1300" s="2"/>
      <c r="Z1300" s="2"/>
      <c r="AA1300" s="2"/>
    </row>
    <row r="1301" spans="21:27" ht="20.100000000000001" customHeight="1" x14ac:dyDescent="0.2">
      <c r="U1301" s="2"/>
      <c r="V1301" s="2"/>
      <c r="W1301" s="2"/>
      <c r="X1301" s="2"/>
      <c r="Y1301" s="2"/>
      <c r="Z1301" s="2"/>
      <c r="AA1301" s="2"/>
    </row>
    <row r="1302" spans="21:27" ht="20.100000000000001" customHeight="1" x14ac:dyDescent="0.2">
      <c r="U1302" s="2"/>
      <c r="V1302" s="2"/>
      <c r="W1302" s="2"/>
      <c r="X1302" s="2"/>
      <c r="Y1302" s="2"/>
      <c r="Z1302" s="2"/>
      <c r="AA1302" s="2"/>
    </row>
    <row r="1303" spans="21:27" ht="20.100000000000001" customHeight="1" x14ac:dyDescent="0.2">
      <c r="U1303" s="2"/>
      <c r="V1303" s="2"/>
      <c r="W1303" s="2"/>
      <c r="X1303" s="2"/>
      <c r="Y1303" s="2"/>
      <c r="Z1303" s="2"/>
      <c r="AA1303" s="2"/>
    </row>
    <row r="1304" spans="21:27" ht="20.100000000000001" customHeight="1" x14ac:dyDescent="0.2">
      <c r="U1304" s="2"/>
      <c r="V1304" s="2"/>
      <c r="W1304" s="2"/>
      <c r="X1304" s="2"/>
      <c r="Y1304" s="2"/>
      <c r="Z1304" s="2"/>
      <c r="AA1304" s="2"/>
    </row>
    <row r="1305" spans="21:27" ht="20.100000000000001" customHeight="1" x14ac:dyDescent="0.2">
      <c r="U1305" s="2"/>
      <c r="V1305" s="2"/>
      <c r="W1305" s="2"/>
      <c r="X1305" s="2"/>
      <c r="Y1305" s="2"/>
      <c r="Z1305" s="2"/>
      <c r="AA1305" s="2"/>
    </row>
    <row r="1306" spans="21:27" ht="20.100000000000001" customHeight="1" x14ac:dyDescent="0.2">
      <c r="U1306" s="2"/>
      <c r="V1306" s="2"/>
      <c r="W1306" s="2"/>
      <c r="X1306" s="2"/>
      <c r="Y1306" s="2"/>
      <c r="Z1306" s="2"/>
      <c r="AA1306" s="2"/>
    </row>
    <row r="1307" spans="21:27" ht="20.100000000000001" customHeight="1" x14ac:dyDescent="0.2">
      <c r="U1307" s="2"/>
      <c r="V1307" s="2"/>
      <c r="W1307" s="2"/>
      <c r="X1307" s="2"/>
      <c r="Y1307" s="2"/>
      <c r="Z1307" s="2"/>
      <c r="AA1307" s="2"/>
    </row>
    <row r="1308" spans="21:27" ht="20.100000000000001" customHeight="1" x14ac:dyDescent="0.2">
      <c r="U1308" s="2"/>
      <c r="V1308" s="2"/>
      <c r="W1308" s="2"/>
      <c r="X1308" s="2"/>
      <c r="Y1308" s="2"/>
      <c r="Z1308" s="2"/>
      <c r="AA1308" s="2"/>
    </row>
    <row r="1309" spans="21:27" ht="20.100000000000001" customHeight="1" x14ac:dyDescent="0.2">
      <c r="U1309" s="2"/>
      <c r="V1309" s="2"/>
      <c r="W1309" s="2"/>
      <c r="X1309" s="2"/>
      <c r="Y1309" s="2"/>
      <c r="Z1309" s="2"/>
      <c r="AA1309" s="2"/>
    </row>
    <row r="1310" spans="21:27" ht="20.100000000000001" customHeight="1" x14ac:dyDescent="0.2">
      <c r="U1310" s="2"/>
      <c r="V1310" s="2"/>
      <c r="W1310" s="2"/>
      <c r="X1310" s="2"/>
      <c r="Y1310" s="2"/>
      <c r="Z1310" s="2"/>
      <c r="AA1310" s="2"/>
    </row>
    <row r="1311" spans="21:27" ht="20.100000000000001" customHeight="1" x14ac:dyDescent="0.2">
      <c r="U1311" s="2"/>
      <c r="V1311" s="2"/>
      <c r="W1311" s="2"/>
      <c r="X1311" s="2"/>
      <c r="Y1311" s="2"/>
      <c r="Z1311" s="2"/>
      <c r="AA1311" s="2"/>
    </row>
    <row r="1312" spans="21:27" ht="20.100000000000001" customHeight="1" x14ac:dyDescent="0.2">
      <c r="U1312" s="2"/>
      <c r="V1312" s="2"/>
      <c r="W1312" s="2"/>
      <c r="X1312" s="2"/>
      <c r="Y1312" s="2"/>
      <c r="Z1312" s="2"/>
      <c r="AA1312" s="2"/>
    </row>
    <row r="1313" spans="21:27" ht="20.100000000000001" customHeight="1" x14ac:dyDescent="0.2">
      <c r="U1313" s="2"/>
      <c r="V1313" s="2"/>
      <c r="W1313" s="2"/>
      <c r="X1313" s="2"/>
      <c r="Y1313" s="2"/>
      <c r="Z1313" s="2"/>
      <c r="AA1313" s="2"/>
    </row>
    <row r="1314" spans="21:27" ht="20.100000000000001" customHeight="1" x14ac:dyDescent="0.2">
      <c r="U1314" s="2"/>
      <c r="V1314" s="2"/>
      <c r="W1314" s="2"/>
      <c r="X1314" s="2"/>
      <c r="Y1314" s="2"/>
      <c r="Z1314" s="2"/>
      <c r="AA1314" s="2"/>
    </row>
    <row r="1315" spans="21:27" ht="20.100000000000001" customHeight="1" x14ac:dyDescent="0.2">
      <c r="U1315" s="2"/>
      <c r="V1315" s="2"/>
      <c r="W1315" s="2"/>
      <c r="X1315" s="2"/>
      <c r="Y1315" s="2"/>
      <c r="Z1315" s="2"/>
      <c r="AA1315" s="2"/>
    </row>
    <row r="1316" spans="21:27" ht="20.100000000000001" customHeight="1" x14ac:dyDescent="0.2">
      <c r="U1316" s="2"/>
      <c r="V1316" s="2"/>
      <c r="W1316" s="2"/>
      <c r="X1316" s="2"/>
      <c r="Y1316" s="2"/>
      <c r="Z1316" s="2"/>
      <c r="AA1316" s="2"/>
    </row>
    <row r="1317" spans="21:27" ht="20.100000000000001" customHeight="1" x14ac:dyDescent="0.2">
      <c r="U1317" s="2"/>
      <c r="V1317" s="2"/>
      <c r="W1317" s="2"/>
      <c r="X1317" s="2"/>
      <c r="Y1317" s="2"/>
      <c r="Z1317" s="2"/>
      <c r="AA1317" s="2"/>
    </row>
    <row r="1318" spans="21:27" ht="20.100000000000001" customHeight="1" x14ac:dyDescent="0.2">
      <c r="U1318" s="2"/>
      <c r="V1318" s="2"/>
      <c r="W1318" s="2"/>
      <c r="X1318" s="2"/>
      <c r="Y1318" s="2"/>
      <c r="Z1318" s="2"/>
      <c r="AA1318" s="2"/>
    </row>
    <row r="1319" spans="21:27" ht="20.100000000000001" customHeight="1" x14ac:dyDescent="0.2">
      <c r="U1319" s="2"/>
      <c r="V1319" s="2"/>
      <c r="W1319" s="2"/>
      <c r="X1319" s="2"/>
      <c r="Y1319" s="2"/>
      <c r="Z1319" s="2"/>
      <c r="AA1319" s="2"/>
    </row>
    <row r="1320" spans="21:27" ht="20.100000000000001" customHeight="1" x14ac:dyDescent="0.2">
      <c r="U1320" s="2"/>
      <c r="V1320" s="2"/>
      <c r="W1320" s="2"/>
      <c r="X1320" s="2"/>
      <c r="Y1320" s="2"/>
      <c r="Z1320" s="2"/>
      <c r="AA1320" s="2"/>
    </row>
    <row r="1321" spans="21:27" ht="20.100000000000001" customHeight="1" x14ac:dyDescent="0.2">
      <c r="U1321" s="2"/>
      <c r="V1321" s="2"/>
      <c r="W1321" s="2"/>
      <c r="X1321" s="2"/>
      <c r="Y1321" s="2"/>
      <c r="Z1321" s="2"/>
      <c r="AA1321" s="2"/>
    </row>
    <row r="1322" spans="21:27" ht="20.100000000000001" customHeight="1" x14ac:dyDescent="0.2">
      <c r="U1322" s="2"/>
      <c r="V1322" s="2"/>
      <c r="W1322" s="2"/>
      <c r="X1322" s="2"/>
      <c r="Y1322" s="2"/>
      <c r="Z1322" s="2"/>
      <c r="AA1322" s="2"/>
    </row>
    <row r="1323" spans="21:27" ht="20.100000000000001" customHeight="1" x14ac:dyDescent="0.2">
      <c r="U1323" s="2"/>
      <c r="V1323" s="2"/>
      <c r="W1323" s="2"/>
      <c r="X1323" s="2"/>
      <c r="Y1323" s="2"/>
      <c r="Z1323" s="2"/>
      <c r="AA1323" s="2"/>
    </row>
    <row r="1324" spans="21:27" ht="20.100000000000001" customHeight="1" x14ac:dyDescent="0.2">
      <c r="U1324" s="2"/>
      <c r="V1324" s="2"/>
      <c r="W1324" s="2"/>
      <c r="X1324" s="2"/>
      <c r="Y1324" s="2"/>
      <c r="Z1324" s="2"/>
      <c r="AA1324" s="2"/>
    </row>
    <row r="1325" spans="21:27" ht="20.100000000000001" customHeight="1" x14ac:dyDescent="0.2">
      <c r="U1325" s="2"/>
      <c r="V1325" s="2"/>
      <c r="W1325" s="2"/>
      <c r="X1325" s="2"/>
      <c r="Y1325" s="2"/>
      <c r="Z1325" s="2"/>
      <c r="AA1325" s="2"/>
    </row>
    <row r="1326" spans="21:27" ht="20.100000000000001" customHeight="1" x14ac:dyDescent="0.2">
      <c r="U1326" s="2"/>
      <c r="V1326" s="2"/>
      <c r="W1326" s="2"/>
      <c r="X1326" s="2"/>
      <c r="Y1326" s="2"/>
      <c r="Z1326" s="2"/>
      <c r="AA1326" s="2"/>
    </row>
    <row r="1327" spans="21:27" ht="20.100000000000001" customHeight="1" x14ac:dyDescent="0.2">
      <c r="U1327" s="2"/>
      <c r="V1327" s="2"/>
      <c r="W1327" s="2"/>
      <c r="X1327" s="2"/>
      <c r="Y1327" s="2"/>
      <c r="Z1327" s="2"/>
      <c r="AA1327" s="2"/>
    </row>
    <row r="1328" spans="21:27" ht="20.100000000000001" customHeight="1" x14ac:dyDescent="0.2">
      <c r="U1328" s="2"/>
      <c r="V1328" s="2"/>
      <c r="W1328" s="2"/>
      <c r="X1328" s="2"/>
      <c r="Y1328" s="2"/>
      <c r="Z1328" s="2"/>
      <c r="AA1328" s="2"/>
    </row>
    <row r="1329" spans="21:27" ht="20.100000000000001" customHeight="1" x14ac:dyDescent="0.2">
      <c r="U1329" s="2"/>
      <c r="V1329" s="2"/>
      <c r="W1329" s="2"/>
      <c r="X1329" s="2"/>
      <c r="Y1329" s="2"/>
      <c r="Z1329" s="2"/>
      <c r="AA1329" s="2"/>
    </row>
    <row r="1330" spans="21:27" ht="20.100000000000001" customHeight="1" x14ac:dyDescent="0.2">
      <c r="U1330" s="2"/>
      <c r="V1330" s="2"/>
      <c r="W1330" s="2"/>
      <c r="X1330" s="2"/>
      <c r="Y1330" s="2"/>
      <c r="Z1330" s="2"/>
      <c r="AA1330" s="2"/>
    </row>
    <row r="1331" spans="21:27" ht="20.100000000000001" customHeight="1" x14ac:dyDescent="0.2">
      <c r="U1331" s="2"/>
      <c r="V1331" s="2"/>
      <c r="W1331" s="2"/>
      <c r="X1331" s="2"/>
      <c r="Y1331" s="2"/>
      <c r="Z1331" s="2"/>
      <c r="AA1331" s="2"/>
    </row>
    <row r="1332" spans="21:27" ht="20.100000000000001" customHeight="1" x14ac:dyDescent="0.2">
      <c r="U1332" s="2"/>
      <c r="V1332" s="2"/>
      <c r="W1332" s="2"/>
      <c r="X1332" s="2"/>
      <c r="Y1332" s="2"/>
      <c r="Z1332" s="2"/>
      <c r="AA1332" s="2"/>
    </row>
    <row r="1333" spans="21:27" ht="20.100000000000001" customHeight="1" x14ac:dyDescent="0.2">
      <c r="U1333" s="2"/>
      <c r="V1333" s="2"/>
      <c r="W1333" s="2"/>
      <c r="X1333" s="2"/>
      <c r="Y1333" s="2"/>
      <c r="Z1333" s="2"/>
      <c r="AA1333" s="2"/>
    </row>
    <row r="1334" spans="21:27" ht="20.100000000000001" customHeight="1" x14ac:dyDescent="0.2">
      <c r="U1334" s="2"/>
      <c r="V1334" s="2"/>
      <c r="W1334" s="2"/>
      <c r="X1334" s="2"/>
      <c r="Y1334" s="2"/>
      <c r="Z1334" s="2"/>
      <c r="AA1334" s="2"/>
    </row>
    <row r="1335" spans="21:27" ht="20.100000000000001" customHeight="1" x14ac:dyDescent="0.2">
      <c r="U1335" s="2"/>
      <c r="V1335" s="2"/>
      <c r="W1335" s="2"/>
      <c r="X1335" s="2"/>
      <c r="Y1335" s="2"/>
      <c r="Z1335" s="2"/>
      <c r="AA1335" s="2"/>
    </row>
    <row r="1336" spans="21:27" ht="20.100000000000001" customHeight="1" x14ac:dyDescent="0.2">
      <c r="U1336" s="2"/>
      <c r="V1336" s="2"/>
      <c r="W1336" s="2"/>
      <c r="X1336" s="2"/>
      <c r="Y1336" s="2"/>
      <c r="Z1336" s="2"/>
      <c r="AA1336" s="2"/>
    </row>
    <row r="1337" spans="21:27" ht="20.100000000000001" customHeight="1" x14ac:dyDescent="0.2">
      <c r="U1337" s="2"/>
      <c r="V1337" s="2"/>
      <c r="W1337" s="2"/>
      <c r="X1337" s="2"/>
      <c r="Y1337" s="2"/>
      <c r="Z1337" s="2"/>
      <c r="AA1337" s="2"/>
    </row>
    <row r="1338" spans="21:27" ht="20.100000000000001" customHeight="1" x14ac:dyDescent="0.2">
      <c r="U1338" s="2"/>
      <c r="V1338" s="2"/>
      <c r="W1338" s="2"/>
      <c r="X1338" s="2"/>
      <c r="Y1338" s="2"/>
      <c r="Z1338" s="2"/>
      <c r="AA1338" s="2"/>
    </row>
    <row r="1339" spans="21:27" ht="20.100000000000001" customHeight="1" x14ac:dyDescent="0.2">
      <c r="U1339" s="2"/>
      <c r="V1339" s="2"/>
      <c r="W1339" s="2"/>
      <c r="X1339" s="2"/>
      <c r="Y1339" s="2"/>
      <c r="Z1339" s="2"/>
      <c r="AA1339" s="2"/>
    </row>
    <row r="1340" spans="21:27" ht="20.100000000000001" customHeight="1" x14ac:dyDescent="0.2">
      <c r="U1340" s="2"/>
      <c r="V1340" s="2"/>
      <c r="W1340" s="2"/>
      <c r="X1340" s="2"/>
      <c r="Y1340" s="2"/>
      <c r="Z1340" s="2"/>
      <c r="AA1340" s="2"/>
    </row>
    <row r="1341" spans="21:27" ht="20.100000000000001" customHeight="1" x14ac:dyDescent="0.2">
      <c r="U1341" s="2"/>
      <c r="V1341" s="2"/>
      <c r="W1341" s="2"/>
      <c r="X1341" s="2"/>
      <c r="Y1341" s="2"/>
      <c r="Z1341" s="2"/>
      <c r="AA1341" s="2"/>
    </row>
    <row r="1342" spans="21:27" ht="20.100000000000001" customHeight="1" x14ac:dyDescent="0.2">
      <c r="U1342" s="2"/>
      <c r="V1342" s="2"/>
      <c r="W1342" s="2"/>
      <c r="X1342" s="2"/>
      <c r="Y1342" s="2"/>
      <c r="Z1342" s="2"/>
      <c r="AA1342" s="2"/>
    </row>
    <row r="1343" spans="21:27" ht="20.100000000000001" customHeight="1" x14ac:dyDescent="0.2">
      <c r="U1343" s="2"/>
      <c r="V1343" s="2"/>
      <c r="W1343" s="2"/>
      <c r="X1343" s="2"/>
      <c r="Y1343" s="2"/>
      <c r="Z1343" s="2"/>
      <c r="AA1343" s="2"/>
    </row>
    <row r="1344" spans="21:27" ht="20.100000000000001" customHeight="1" x14ac:dyDescent="0.2">
      <c r="U1344" s="2"/>
      <c r="V1344" s="2"/>
      <c r="W1344" s="2"/>
      <c r="X1344" s="2"/>
      <c r="Y1344" s="2"/>
      <c r="Z1344" s="2"/>
      <c r="AA1344" s="2"/>
    </row>
    <row r="1345" spans="21:27" ht="20.100000000000001" customHeight="1" x14ac:dyDescent="0.2">
      <c r="U1345" s="2"/>
      <c r="V1345" s="2"/>
      <c r="W1345" s="2"/>
      <c r="X1345" s="2"/>
      <c r="Y1345" s="2"/>
      <c r="Z1345" s="2"/>
      <c r="AA1345" s="2"/>
    </row>
    <row r="1346" spans="21:27" ht="20.100000000000001" customHeight="1" x14ac:dyDescent="0.2">
      <c r="U1346" s="2"/>
      <c r="V1346" s="2"/>
      <c r="W1346" s="2"/>
      <c r="X1346" s="2"/>
      <c r="Y1346" s="2"/>
      <c r="Z1346" s="2"/>
      <c r="AA1346" s="2"/>
    </row>
    <row r="1347" spans="21:27" ht="20.100000000000001" customHeight="1" x14ac:dyDescent="0.2">
      <c r="U1347" s="2"/>
      <c r="V1347" s="2"/>
      <c r="W1347" s="2"/>
      <c r="X1347" s="2"/>
      <c r="Y1347" s="2"/>
      <c r="Z1347" s="2"/>
      <c r="AA1347" s="2"/>
    </row>
    <row r="1348" spans="21:27" ht="20.100000000000001" customHeight="1" x14ac:dyDescent="0.2">
      <c r="U1348" s="2"/>
      <c r="V1348" s="2"/>
      <c r="W1348" s="2"/>
      <c r="X1348" s="2"/>
      <c r="Y1348" s="2"/>
      <c r="Z1348" s="2"/>
      <c r="AA1348" s="2"/>
    </row>
    <row r="1349" spans="21:27" ht="20.100000000000001" customHeight="1" x14ac:dyDescent="0.2">
      <c r="U1349" s="2"/>
      <c r="V1349" s="2"/>
      <c r="W1349" s="2"/>
      <c r="X1349" s="2"/>
      <c r="Y1349" s="2"/>
      <c r="Z1349" s="2"/>
      <c r="AA1349" s="2"/>
    </row>
    <row r="1350" spans="21:27" ht="20.100000000000001" customHeight="1" x14ac:dyDescent="0.2">
      <c r="U1350" s="2"/>
      <c r="V1350" s="2"/>
      <c r="W1350" s="2"/>
      <c r="X1350" s="2"/>
      <c r="Y1350" s="2"/>
      <c r="Z1350" s="2"/>
      <c r="AA1350" s="2"/>
    </row>
    <row r="1351" spans="21:27" ht="20.100000000000001" customHeight="1" x14ac:dyDescent="0.2">
      <c r="U1351" s="2"/>
      <c r="V1351" s="2"/>
      <c r="W1351" s="2"/>
      <c r="X1351" s="2"/>
      <c r="Y1351" s="2"/>
      <c r="Z1351" s="2"/>
      <c r="AA1351" s="2"/>
    </row>
    <row r="1352" spans="21:27" ht="20.100000000000001" customHeight="1" x14ac:dyDescent="0.2">
      <c r="U1352" s="2"/>
      <c r="V1352" s="2"/>
      <c r="W1352" s="2"/>
      <c r="X1352" s="2"/>
      <c r="Y1352" s="2"/>
      <c r="Z1352" s="2"/>
      <c r="AA1352" s="2"/>
    </row>
    <row r="1353" spans="21:27" ht="20.100000000000001" customHeight="1" x14ac:dyDescent="0.2">
      <c r="U1353" s="2"/>
      <c r="V1353" s="2"/>
      <c r="W1353" s="2"/>
      <c r="X1353" s="2"/>
      <c r="Y1353" s="2"/>
      <c r="Z1353" s="2"/>
      <c r="AA1353" s="2"/>
    </row>
    <row r="1354" spans="21:27" ht="20.100000000000001" customHeight="1" x14ac:dyDescent="0.2">
      <c r="U1354" s="2"/>
      <c r="V1354" s="2"/>
      <c r="W1354" s="2"/>
      <c r="X1354" s="2"/>
      <c r="Y1354" s="2"/>
      <c r="Z1354" s="2"/>
      <c r="AA1354" s="2"/>
    </row>
    <row r="1355" spans="21:27" ht="20.100000000000001" customHeight="1" x14ac:dyDescent="0.2">
      <c r="U1355" s="2"/>
      <c r="V1355" s="2"/>
      <c r="W1355" s="2"/>
      <c r="X1355" s="2"/>
      <c r="Y1355" s="2"/>
      <c r="Z1355" s="2"/>
      <c r="AA1355" s="2"/>
    </row>
    <row r="1356" spans="21:27" ht="20.100000000000001" customHeight="1" x14ac:dyDescent="0.2">
      <c r="U1356" s="2"/>
      <c r="V1356" s="2"/>
      <c r="W1356" s="2"/>
      <c r="X1356" s="2"/>
      <c r="Y1356" s="2"/>
      <c r="Z1356" s="2"/>
      <c r="AA1356" s="2"/>
    </row>
    <row r="1357" spans="21:27" ht="20.100000000000001" customHeight="1" x14ac:dyDescent="0.2">
      <c r="U1357" s="2"/>
      <c r="V1357" s="2"/>
      <c r="W1357" s="2"/>
      <c r="X1357" s="2"/>
      <c r="Y1357" s="2"/>
      <c r="Z1357" s="2"/>
      <c r="AA1357" s="2"/>
    </row>
    <row r="1358" spans="21:27" ht="20.100000000000001" customHeight="1" x14ac:dyDescent="0.2">
      <c r="U1358" s="2"/>
      <c r="V1358" s="2"/>
      <c r="W1358" s="2"/>
      <c r="X1358" s="2"/>
      <c r="Y1358" s="2"/>
      <c r="Z1358" s="2"/>
      <c r="AA1358" s="2"/>
    </row>
    <row r="1359" spans="21:27" ht="20.100000000000001" customHeight="1" x14ac:dyDescent="0.2">
      <c r="U1359" s="2"/>
      <c r="V1359" s="2"/>
      <c r="W1359" s="2"/>
      <c r="X1359" s="2"/>
      <c r="Y1359" s="2"/>
      <c r="Z1359" s="2"/>
      <c r="AA1359" s="2"/>
    </row>
    <row r="1360" spans="21:27" ht="20.100000000000001" customHeight="1" x14ac:dyDescent="0.2">
      <c r="U1360" s="2"/>
      <c r="V1360" s="2"/>
      <c r="W1360" s="2"/>
      <c r="X1360" s="2"/>
      <c r="Y1360" s="2"/>
      <c r="Z1360" s="2"/>
      <c r="AA1360" s="2"/>
    </row>
    <row r="1361" spans="21:27" ht="20.100000000000001" customHeight="1" x14ac:dyDescent="0.2">
      <c r="U1361" s="2"/>
      <c r="V1361" s="2"/>
      <c r="W1361" s="2"/>
      <c r="X1361" s="2"/>
      <c r="Y1361" s="2"/>
      <c r="Z1361" s="2"/>
      <c r="AA1361" s="2"/>
    </row>
    <row r="1362" spans="21:27" ht="20.100000000000001" customHeight="1" x14ac:dyDescent="0.2">
      <c r="U1362" s="2"/>
      <c r="V1362" s="2"/>
      <c r="W1362" s="2"/>
      <c r="X1362" s="2"/>
      <c r="Y1362" s="2"/>
      <c r="Z1362" s="2"/>
      <c r="AA1362" s="2"/>
    </row>
    <row r="1363" spans="21:27" ht="20.100000000000001" customHeight="1" x14ac:dyDescent="0.2">
      <c r="U1363" s="2"/>
      <c r="V1363" s="2"/>
      <c r="W1363" s="2"/>
      <c r="X1363" s="2"/>
      <c r="Y1363" s="2"/>
      <c r="Z1363" s="2"/>
      <c r="AA1363" s="2"/>
    </row>
    <row r="1364" spans="21:27" ht="20.100000000000001" customHeight="1" x14ac:dyDescent="0.2">
      <c r="U1364" s="2"/>
      <c r="V1364" s="2"/>
      <c r="W1364" s="2"/>
      <c r="X1364" s="2"/>
      <c r="Y1364" s="2"/>
      <c r="Z1364" s="2"/>
      <c r="AA1364" s="2"/>
    </row>
    <row r="1365" spans="21:27" ht="20.100000000000001" customHeight="1" x14ac:dyDescent="0.2">
      <c r="U1365" s="2"/>
      <c r="V1365" s="2"/>
      <c r="W1365" s="2"/>
      <c r="X1365" s="2"/>
      <c r="Y1365" s="2"/>
      <c r="Z1365" s="2"/>
      <c r="AA1365" s="2"/>
    </row>
    <row r="1366" spans="21:27" ht="20.100000000000001" customHeight="1" x14ac:dyDescent="0.2">
      <c r="U1366" s="2"/>
      <c r="V1366" s="2"/>
      <c r="W1366" s="2"/>
      <c r="X1366" s="2"/>
      <c r="Y1366" s="2"/>
      <c r="Z1366" s="2"/>
      <c r="AA1366" s="2"/>
    </row>
    <row r="1367" spans="21:27" ht="20.100000000000001" customHeight="1" x14ac:dyDescent="0.2">
      <c r="U1367" s="2"/>
      <c r="V1367" s="2"/>
      <c r="W1367" s="2"/>
      <c r="X1367" s="2"/>
      <c r="Y1367" s="2"/>
      <c r="Z1367" s="2"/>
      <c r="AA1367" s="2"/>
    </row>
    <row r="1368" spans="21:27" ht="20.100000000000001" customHeight="1" x14ac:dyDescent="0.2">
      <c r="U1368" s="2"/>
      <c r="V1368" s="2"/>
      <c r="W1368" s="2"/>
      <c r="X1368" s="2"/>
      <c r="Y1368" s="2"/>
      <c r="Z1368" s="2"/>
      <c r="AA1368" s="2"/>
    </row>
    <row r="1369" spans="21:27" ht="20.100000000000001" customHeight="1" x14ac:dyDescent="0.2">
      <c r="U1369" s="2"/>
      <c r="V1369" s="2"/>
      <c r="W1369" s="2"/>
      <c r="X1369" s="2"/>
      <c r="Y1369" s="2"/>
      <c r="Z1369" s="2"/>
      <c r="AA1369" s="2"/>
    </row>
    <row r="1370" spans="21:27" ht="20.100000000000001" customHeight="1" x14ac:dyDescent="0.2">
      <c r="U1370" s="2"/>
      <c r="V1370" s="2"/>
      <c r="W1370" s="2"/>
      <c r="X1370" s="2"/>
      <c r="Y1370" s="2"/>
      <c r="Z1370" s="2"/>
      <c r="AA1370" s="2"/>
    </row>
    <row r="1371" spans="21:27" ht="20.100000000000001" customHeight="1" x14ac:dyDescent="0.2">
      <c r="U1371" s="2"/>
      <c r="V1371" s="2"/>
      <c r="W1371" s="2"/>
      <c r="X1371" s="2"/>
      <c r="Y1371" s="2"/>
      <c r="Z1371" s="2"/>
      <c r="AA1371" s="2"/>
    </row>
    <row r="1372" spans="21:27" ht="20.100000000000001" customHeight="1" x14ac:dyDescent="0.2">
      <c r="U1372" s="2"/>
      <c r="V1372" s="2"/>
      <c r="W1372" s="2"/>
      <c r="X1372" s="2"/>
      <c r="Y1372" s="2"/>
      <c r="Z1372" s="2"/>
      <c r="AA1372" s="2"/>
    </row>
    <row r="1373" spans="21:27" ht="20.100000000000001" customHeight="1" x14ac:dyDescent="0.2">
      <c r="U1373" s="2"/>
      <c r="V1373" s="2"/>
      <c r="W1373" s="2"/>
      <c r="X1373" s="2"/>
      <c r="Y1373" s="2"/>
      <c r="Z1373" s="2"/>
      <c r="AA1373" s="2"/>
    </row>
    <row r="1374" spans="21:27" ht="20.100000000000001" customHeight="1" x14ac:dyDescent="0.2">
      <c r="U1374" s="2"/>
      <c r="V1374" s="2"/>
      <c r="W1374" s="2"/>
      <c r="X1374" s="2"/>
      <c r="Y1374" s="2"/>
      <c r="Z1374" s="2"/>
      <c r="AA1374" s="2"/>
    </row>
    <row r="1375" spans="21:27" ht="20.100000000000001" customHeight="1" x14ac:dyDescent="0.2">
      <c r="U1375" s="2"/>
      <c r="V1375" s="2"/>
      <c r="W1375" s="2"/>
      <c r="X1375" s="2"/>
      <c r="Y1375" s="2"/>
      <c r="Z1375" s="2"/>
      <c r="AA1375" s="2"/>
    </row>
    <row r="1376" spans="21:27" ht="20.100000000000001" customHeight="1" x14ac:dyDescent="0.2">
      <c r="U1376" s="2"/>
      <c r="V1376" s="2"/>
      <c r="W1376" s="2"/>
      <c r="X1376" s="2"/>
      <c r="Y1376" s="2"/>
      <c r="Z1376" s="2"/>
      <c r="AA1376" s="2"/>
    </row>
    <row r="1377" spans="21:27" ht="20.100000000000001" customHeight="1" x14ac:dyDescent="0.2">
      <c r="U1377" s="2"/>
      <c r="V1377" s="2"/>
      <c r="W1377" s="2"/>
      <c r="X1377" s="2"/>
      <c r="Y1377" s="2"/>
      <c r="Z1377" s="2"/>
      <c r="AA1377" s="2"/>
    </row>
    <row r="1378" spans="21:27" ht="20.100000000000001" customHeight="1" x14ac:dyDescent="0.2">
      <c r="U1378" s="2"/>
      <c r="V1378" s="2"/>
      <c r="W1378" s="2"/>
      <c r="X1378" s="2"/>
      <c r="Y1378" s="2"/>
      <c r="Z1378" s="2"/>
      <c r="AA1378" s="2"/>
    </row>
    <row r="1379" spans="21:27" ht="20.100000000000001" customHeight="1" x14ac:dyDescent="0.2">
      <c r="U1379" s="2"/>
      <c r="V1379" s="2"/>
      <c r="W1379" s="2"/>
      <c r="X1379" s="2"/>
      <c r="Y1379" s="2"/>
      <c r="Z1379" s="2"/>
      <c r="AA1379" s="2"/>
    </row>
    <row r="1380" spans="21:27" ht="20.100000000000001" customHeight="1" x14ac:dyDescent="0.2">
      <c r="U1380" s="2"/>
      <c r="V1380" s="2"/>
      <c r="W1380" s="2"/>
      <c r="X1380" s="2"/>
      <c r="Y1380" s="2"/>
      <c r="Z1380" s="2"/>
      <c r="AA1380" s="2"/>
    </row>
    <row r="1381" spans="21:27" ht="20.100000000000001" customHeight="1" x14ac:dyDescent="0.2">
      <c r="U1381" s="2"/>
      <c r="V1381" s="2"/>
      <c r="W1381" s="2"/>
      <c r="X1381" s="2"/>
      <c r="Y1381" s="2"/>
      <c r="Z1381" s="2"/>
      <c r="AA1381" s="2"/>
    </row>
    <row r="1382" spans="21:27" ht="20.100000000000001" customHeight="1" x14ac:dyDescent="0.2">
      <c r="U1382" s="2"/>
      <c r="V1382" s="2"/>
      <c r="W1382" s="2"/>
      <c r="X1382" s="2"/>
      <c r="Y1382" s="2"/>
      <c r="Z1382" s="2"/>
      <c r="AA1382" s="2"/>
    </row>
    <row r="1383" spans="21:27" ht="20.100000000000001" customHeight="1" x14ac:dyDescent="0.2">
      <c r="U1383" s="2"/>
      <c r="V1383" s="2"/>
      <c r="W1383" s="2"/>
      <c r="X1383" s="2"/>
      <c r="Y1383" s="2"/>
      <c r="Z1383" s="2"/>
      <c r="AA1383" s="2"/>
    </row>
    <row r="1384" spans="21:27" ht="20.100000000000001" customHeight="1" x14ac:dyDescent="0.2">
      <c r="U1384" s="2"/>
      <c r="V1384" s="2"/>
      <c r="W1384" s="2"/>
      <c r="X1384" s="2"/>
      <c r="Y1384" s="2"/>
      <c r="Z1384" s="2"/>
      <c r="AA1384" s="2"/>
    </row>
    <row r="1385" spans="21:27" ht="20.100000000000001" customHeight="1" x14ac:dyDescent="0.2">
      <c r="U1385" s="2"/>
      <c r="V1385" s="2"/>
      <c r="W1385" s="2"/>
      <c r="X1385" s="2"/>
      <c r="Y1385" s="2"/>
      <c r="Z1385" s="2"/>
      <c r="AA1385" s="2"/>
    </row>
    <row r="1386" spans="21:27" ht="20.100000000000001" customHeight="1" x14ac:dyDescent="0.2">
      <c r="U1386" s="2"/>
      <c r="V1386" s="2"/>
      <c r="W1386" s="2"/>
      <c r="X1386" s="2"/>
      <c r="Y1386" s="2"/>
      <c r="Z1386" s="2"/>
      <c r="AA1386" s="2"/>
    </row>
    <row r="1387" spans="21:27" ht="20.100000000000001" customHeight="1" x14ac:dyDescent="0.2">
      <c r="U1387" s="2"/>
      <c r="V1387" s="2"/>
      <c r="W1387" s="2"/>
      <c r="X1387" s="2"/>
      <c r="Y1387" s="2"/>
      <c r="Z1387" s="2"/>
      <c r="AA1387" s="2"/>
    </row>
    <row r="1388" spans="21:27" ht="20.100000000000001" customHeight="1" x14ac:dyDescent="0.2">
      <c r="U1388" s="2"/>
      <c r="V1388" s="2"/>
      <c r="W1388" s="2"/>
      <c r="X1388" s="2"/>
      <c r="Y1388" s="2"/>
      <c r="Z1388" s="2"/>
      <c r="AA1388" s="2"/>
    </row>
    <row r="1389" spans="21:27" ht="20.100000000000001" customHeight="1" x14ac:dyDescent="0.2">
      <c r="U1389" s="2"/>
      <c r="V1389" s="2"/>
      <c r="W1389" s="2"/>
      <c r="X1389" s="2"/>
      <c r="Y1389" s="2"/>
      <c r="Z1389" s="2"/>
      <c r="AA1389" s="2"/>
    </row>
    <row r="1390" spans="21:27" ht="20.100000000000001" customHeight="1" x14ac:dyDescent="0.2">
      <c r="U1390" s="2"/>
      <c r="V1390" s="2"/>
      <c r="W1390" s="2"/>
      <c r="X1390" s="2"/>
      <c r="Y1390" s="2"/>
      <c r="Z1390" s="2"/>
      <c r="AA1390" s="2"/>
    </row>
    <row r="1391" spans="21:27" ht="20.100000000000001" customHeight="1" x14ac:dyDescent="0.2">
      <c r="U1391" s="2"/>
      <c r="V1391" s="2"/>
      <c r="W1391" s="2"/>
      <c r="X1391" s="2"/>
      <c r="Y1391" s="2"/>
      <c r="Z1391" s="2"/>
      <c r="AA1391" s="2"/>
    </row>
    <row r="1392" spans="21:27" ht="20.100000000000001" customHeight="1" x14ac:dyDescent="0.2">
      <c r="U1392" s="2"/>
      <c r="V1392" s="2"/>
      <c r="W1392" s="2"/>
      <c r="X1392" s="2"/>
      <c r="Y1392" s="2"/>
      <c r="Z1392" s="2"/>
      <c r="AA1392" s="2"/>
    </row>
    <row r="1393" spans="21:27" ht="20.100000000000001" customHeight="1" x14ac:dyDescent="0.2">
      <c r="U1393" s="2"/>
      <c r="V1393" s="2"/>
      <c r="W1393" s="2"/>
      <c r="X1393" s="2"/>
      <c r="Y1393" s="2"/>
      <c r="Z1393" s="2"/>
      <c r="AA1393" s="2"/>
    </row>
    <row r="1394" spans="21:27" ht="20.100000000000001" customHeight="1" x14ac:dyDescent="0.2">
      <c r="U1394" s="2"/>
      <c r="V1394" s="2"/>
      <c r="W1394" s="2"/>
      <c r="X1394" s="2"/>
      <c r="Y1394" s="2"/>
      <c r="Z1394" s="2"/>
      <c r="AA1394" s="2"/>
    </row>
    <row r="1395" spans="21:27" ht="20.100000000000001" customHeight="1" x14ac:dyDescent="0.2">
      <c r="U1395" s="2"/>
      <c r="V1395" s="2"/>
      <c r="W1395" s="2"/>
      <c r="X1395" s="2"/>
      <c r="Y1395" s="2"/>
      <c r="Z1395" s="2"/>
      <c r="AA1395" s="2"/>
    </row>
    <row r="1396" spans="21:27" ht="20.100000000000001" customHeight="1" x14ac:dyDescent="0.2">
      <c r="U1396" s="2"/>
      <c r="V1396" s="2"/>
      <c r="W1396" s="2"/>
      <c r="X1396" s="2"/>
      <c r="Y1396" s="2"/>
      <c r="Z1396" s="2"/>
      <c r="AA1396" s="2"/>
    </row>
    <row r="1397" spans="21:27" ht="20.100000000000001" customHeight="1" x14ac:dyDescent="0.2">
      <c r="U1397" s="2"/>
      <c r="V1397" s="2"/>
      <c r="W1397" s="2"/>
      <c r="X1397" s="2"/>
      <c r="Y1397" s="2"/>
      <c r="Z1397" s="2"/>
      <c r="AA1397" s="2"/>
    </row>
    <row r="1398" spans="21:27" ht="20.100000000000001" customHeight="1" x14ac:dyDescent="0.2">
      <c r="U1398" s="2"/>
      <c r="V1398" s="2"/>
      <c r="W1398" s="2"/>
      <c r="X1398" s="2"/>
      <c r="Y1398" s="2"/>
      <c r="Z1398" s="2"/>
      <c r="AA1398" s="2"/>
    </row>
    <row r="1399" spans="21:27" ht="20.100000000000001" customHeight="1" x14ac:dyDescent="0.2">
      <c r="U1399" s="2"/>
      <c r="V1399" s="2"/>
      <c r="W1399" s="2"/>
      <c r="X1399" s="2"/>
      <c r="Y1399" s="2"/>
      <c r="Z1399" s="2"/>
      <c r="AA1399" s="2"/>
    </row>
    <row r="1400" spans="21:27" ht="20.100000000000001" customHeight="1" x14ac:dyDescent="0.2">
      <c r="U1400" s="2"/>
      <c r="V1400" s="2"/>
      <c r="W1400" s="2"/>
      <c r="X1400" s="2"/>
      <c r="Y1400" s="2"/>
      <c r="Z1400" s="2"/>
      <c r="AA1400" s="2"/>
    </row>
    <row r="1401" spans="21:27" ht="20.100000000000001" customHeight="1" x14ac:dyDescent="0.2">
      <c r="U1401" s="2"/>
      <c r="V1401" s="2"/>
      <c r="W1401" s="2"/>
      <c r="X1401" s="2"/>
      <c r="Y1401" s="2"/>
      <c r="Z1401" s="2"/>
      <c r="AA1401" s="2"/>
    </row>
    <row r="1402" spans="21:27" ht="20.100000000000001" customHeight="1" x14ac:dyDescent="0.2">
      <c r="U1402" s="2"/>
      <c r="V1402" s="2"/>
      <c r="W1402" s="2"/>
      <c r="X1402" s="2"/>
      <c r="Y1402" s="2"/>
      <c r="Z1402" s="2"/>
      <c r="AA1402" s="2"/>
    </row>
    <row r="1403" spans="21:27" ht="20.100000000000001" customHeight="1" x14ac:dyDescent="0.2">
      <c r="U1403" s="2"/>
      <c r="V1403" s="2"/>
      <c r="W1403" s="2"/>
      <c r="X1403" s="2"/>
      <c r="Y1403" s="2"/>
      <c r="Z1403" s="2"/>
      <c r="AA1403" s="2"/>
    </row>
    <row r="1404" spans="21:27" ht="20.100000000000001" customHeight="1" x14ac:dyDescent="0.2">
      <c r="U1404" s="2"/>
      <c r="V1404" s="2"/>
      <c r="W1404" s="2"/>
      <c r="X1404" s="2"/>
      <c r="Y1404" s="2"/>
      <c r="Z1404" s="2"/>
      <c r="AA1404" s="2"/>
    </row>
    <row r="1405" spans="21:27" ht="20.100000000000001" customHeight="1" x14ac:dyDescent="0.2">
      <c r="U1405" s="2"/>
      <c r="V1405" s="2"/>
      <c r="W1405" s="2"/>
      <c r="X1405" s="2"/>
      <c r="Y1405" s="2"/>
      <c r="Z1405" s="2"/>
      <c r="AA1405" s="2"/>
    </row>
    <row r="1406" spans="21:27" ht="20.100000000000001" customHeight="1" x14ac:dyDescent="0.2">
      <c r="U1406" s="2"/>
      <c r="V1406" s="2"/>
      <c r="W1406" s="2"/>
      <c r="X1406" s="2"/>
      <c r="Y1406" s="2"/>
      <c r="Z1406" s="2"/>
      <c r="AA1406" s="2"/>
    </row>
    <row r="1407" spans="21:27" ht="20.100000000000001" customHeight="1" x14ac:dyDescent="0.2">
      <c r="U1407" s="2"/>
      <c r="V1407" s="2"/>
      <c r="W1407" s="2"/>
      <c r="X1407" s="2"/>
      <c r="Y1407" s="2"/>
      <c r="Z1407" s="2"/>
      <c r="AA1407" s="2"/>
    </row>
    <row r="1408" spans="21:27" ht="20.100000000000001" customHeight="1" x14ac:dyDescent="0.2">
      <c r="U1408" s="2"/>
      <c r="V1408" s="2"/>
      <c r="W1408" s="2"/>
      <c r="X1408" s="2"/>
      <c r="Y1408" s="2"/>
      <c r="Z1408" s="2"/>
      <c r="AA1408" s="2"/>
    </row>
    <row r="1409" spans="21:27" ht="20.100000000000001" customHeight="1" x14ac:dyDescent="0.2">
      <c r="U1409" s="2"/>
      <c r="V1409" s="2"/>
      <c r="W1409" s="2"/>
      <c r="X1409" s="2"/>
      <c r="Y1409" s="2"/>
      <c r="Z1409" s="2"/>
      <c r="AA1409" s="2"/>
    </row>
    <row r="1410" spans="21:27" ht="20.100000000000001" customHeight="1" x14ac:dyDescent="0.2">
      <c r="U1410" s="2"/>
      <c r="V1410" s="2"/>
      <c r="W1410" s="2"/>
      <c r="X1410" s="2"/>
      <c r="Y1410" s="2"/>
      <c r="Z1410" s="2"/>
      <c r="AA1410" s="2"/>
    </row>
    <row r="1411" spans="21:27" ht="20.100000000000001" customHeight="1" x14ac:dyDescent="0.2">
      <c r="U1411" s="2"/>
      <c r="V1411" s="2"/>
      <c r="W1411" s="2"/>
      <c r="X1411" s="2"/>
      <c r="Y1411" s="2"/>
      <c r="Z1411" s="2"/>
      <c r="AA1411" s="2"/>
    </row>
    <row r="1412" spans="21:27" ht="20.100000000000001" customHeight="1" x14ac:dyDescent="0.2">
      <c r="U1412" s="2"/>
      <c r="V1412" s="2"/>
      <c r="W1412" s="2"/>
      <c r="X1412" s="2"/>
      <c r="Y1412" s="2"/>
      <c r="Z1412" s="2"/>
      <c r="AA1412" s="2"/>
    </row>
    <row r="1413" spans="21:27" ht="20.100000000000001" customHeight="1" x14ac:dyDescent="0.2">
      <c r="U1413" s="2"/>
      <c r="V1413" s="2"/>
      <c r="W1413" s="2"/>
      <c r="X1413" s="2"/>
      <c r="Y1413" s="2"/>
      <c r="Z1413" s="2"/>
      <c r="AA1413" s="2"/>
    </row>
    <row r="1414" spans="21:27" ht="20.100000000000001" customHeight="1" x14ac:dyDescent="0.2">
      <c r="U1414" s="2"/>
      <c r="V1414" s="2"/>
      <c r="W1414" s="2"/>
      <c r="X1414" s="2"/>
      <c r="Y1414" s="2"/>
      <c r="Z1414" s="2"/>
      <c r="AA1414" s="2"/>
    </row>
    <row r="1415" spans="21:27" ht="20.100000000000001" customHeight="1" x14ac:dyDescent="0.2">
      <c r="U1415" s="2"/>
      <c r="V1415" s="2"/>
      <c r="W1415" s="2"/>
      <c r="X1415" s="2"/>
      <c r="Y1415" s="2"/>
      <c r="Z1415" s="2"/>
      <c r="AA1415" s="2"/>
    </row>
    <row r="1416" spans="21:27" ht="20.100000000000001" customHeight="1" x14ac:dyDescent="0.2">
      <c r="U1416" s="2"/>
      <c r="V1416" s="2"/>
      <c r="W1416" s="2"/>
      <c r="X1416" s="2"/>
      <c r="Y1416" s="2"/>
      <c r="Z1416" s="2"/>
      <c r="AA1416" s="2"/>
    </row>
    <row r="1417" spans="21:27" ht="20.100000000000001" customHeight="1" x14ac:dyDescent="0.2">
      <c r="U1417" s="2"/>
      <c r="V1417" s="2"/>
      <c r="W1417" s="2"/>
      <c r="X1417" s="2"/>
      <c r="Y1417" s="2"/>
      <c r="Z1417" s="2"/>
      <c r="AA1417" s="2"/>
    </row>
    <row r="1418" spans="21:27" ht="20.100000000000001" customHeight="1" x14ac:dyDescent="0.2">
      <c r="U1418" s="2"/>
      <c r="V1418" s="2"/>
      <c r="W1418" s="2"/>
      <c r="X1418" s="2"/>
      <c r="Y1418" s="2"/>
      <c r="Z1418" s="2"/>
      <c r="AA1418" s="2"/>
    </row>
    <row r="1419" spans="21:27" ht="20.100000000000001" customHeight="1" x14ac:dyDescent="0.2">
      <c r="U1419" s="2"/>
      <c r="V1419" s="2"/>
      <c r="W1419" s="2"/>
      <c r="X1419" s="2"/>
      <c r="Y1419" s="2"/>
      <c r="Z1419" s="2"/>
      <c r="AA1419" s="2"/>
    </row>
    <row r="1420" spans="21:27" ht="20.100000000000001" customHeight="1" x14ac:dyDescent="0.2">
      <c r="U1420" s="2"/>
      <c r="V1420" s="2"/>
      <c r="W1420" s="2"/>
      <c r="X1420" s="2"/>
      <c r="Y1420" s="2"/>
      <c r="Z1420" s="2"/>
      <c r="AA1420" s="2"/>
    </row>
    <row r="1421" spans="21:27" ht="20.100000000000001" customHeight="1" x14ac:dyDescent="0.2">
      <c r="U1421" s="2"/>
      <c r="V1421" s="2"/>
      <c r="W1421" s="2"/>
      <c r="X1421" s="2"/>
      <c r="Y1421" s="2"/>
      <c r="Z1421" s="2"/>
      <c r="AA1421" s="2"/>
    </row>
    <row r="1422" spans="21:27" ht="20.100000000000001" customHeight="1" x14ac:dyDescent="0.2">
      <c r="U1422" s="2"/>
      <c r="V1422" s="2"/>
      <c r="W1422" s="2"/>
      <c r="X1422" s="2"/>
      <c r="Y1422" s="2"/>
      <c r="Z1422" s="2"/>
      <c r="AA1422" s="2"/>
    </row>
    <row r="1423" spans="21:27" ht="20.100000000000001" customHeight="1" x14ac:dyDescent="0.2">
      <c r="U1423" s="2"/>
      <c r="V1423" s="2"/>
      <c r="W1423" s="2"/>
      <c r="X1423" s="2"/>
      <c r="Y1423" s="2"/>
      <c r="Z1423" s="2"/>
      <c r="AA1423" s="2"/>
    </row>
    <row r="1424" spans="21:27" ht="20.100000000000001" customHeight="1" x14ac:dyDescent="0.2">
      <c r="U1424" s="2"/>
      <c r="V1424" s="2"/>
      <c r="W1424" s="2"/>
      <c r="X1424" s="2"/>
      <c r="Y1424" s="2"/>
      <c r="Z1424" s="2"/>
      <c r="AA1424" s="2"/>
    </row>
    <row r="1425" spans="21:27" ht="20.100000000000001" customHeight="1" x14ac:dyDescent="0.2">
      <c r="U1425" s="2"/>
      <c r="V1425" s="2"/>
      <c r="W1425" s="2"/>
      <c r="X1425" s="2"/>
      <c r="Y1425" s="2"/>
      <c r="Z1425" s="2"/>
      <c r="AA1425" s="2"/>
    </row>
    <row r="1426" spans="21:27" ht="20.100000000000001" customHeight="1" x14ac:dyDescent="0.2">
      <c r="U1426" s="2"/>
      <c r="V1426" s="2"/>
      <c r="W1426" s="2"/>
      <c r="X1426" s="2"/>
      <c r="Y1426" s="2"/>
      <c r="Z1426" s="2"/>
      <c r="AA1426" s="2"/>
    </row>
    <row r="1427" spans="21:27" ht="20.100000000000001" customHeight="1" x14ac:dyDescent="0.2">
      <c r="U1427" s="2"/>
      <c r="V1427" s="2"/>
      <c r="W1427" s="2"/>
      <c r="X1427" s="2"/>
      <c r="Y1427" s="2"/>
      <c r="Z1427" s="2"/>
      <c r="AA1427" s="2"/>
    </row>
    <row r="1428" spans="21:27" ht="20.100000000000001" customHeight="1" x14ac:dyDescent="0.2">
      <c r="U1428" s="2"/>
      <c r="V1428" s="2"/>
      <c r="W1428" s="2"/>
      <c r="X1428" s="2"/>
      <c r="Y1428" s="2"/>
      <c r="Z1428" s="2"/>
      <c r="AA1428" s="2"/>
    </row>
    <row r="1429" spans="21:27" ht="20.100000000000001" customHeight="1" x14ac:dyDescent="0.2">
      <c r="U1429" s="2"/>
      <c r="V1429" s="2"/>
      <c r="W1429" s="2"/>
      <c r="X1429" s="2"/>
      <c r="Y1429" s="2"/>
      <c r="Z1429" s="2"/>
      <c r="AA1429" s="2"/>
    </row>
    <row r="1430" spans="21:27" ht="20.100000000000001" customHeight="1" x14ac:dyDescent="0.2">
      <c r="U1430" s="2"/>
      <c r="V1430" s="2"/>
      <c r="W1430" s="2"/>
      <c r="X1430" s="2"/>
      <c r="Y1430" s="2"/>
      <c r="Z1430" s="2"/>
      <c r="AA1430" s="2"/>
    </row>
    <row r="1431" spans="21:27" ht="20.100000000000001" customHeight="1" x14ac:dyDescent="0.2">
      <c r="U1431" s="2"/>
      <c r="V1431" s="2"/>
      <c r="W1431" s="2"/>
      <c r="X1431" s="2"/>
      <c r="Y1431" s="2"/>
      <c r="Z1431" s="2"/>
      <c r="AA1431" s="2"/>
    </row>
    <row r="1432" spans="21:27" ht="20.100000000000001" customHeight="1" x14ac:dyDescent="0.2">
      <c r="U1432" s="2"/>
      <c r="V1432" s="2"/>
      <c r="W1432" s="2"/>
      <c r="X1432" s="2"/>
      <c r="Y1432" s="2"/>
      <c r="Z1432" s="2"/>
      <c r="AA1432" s="2"/>
    </row>
    <row r="1433" spans="21:27" ht="20.100000000000001" customHeight="1" x14ac:dyDescent="0.2">
      <c r="U1433" s="2"/>
      <c r="V1433" s="2"/>
      <c r="W1433" s="2"/>
      <c r="X1433" s="2"/>
      <c r="Y1433" s="2"/>
      <c r="Z1433" s="2"/>
      <c r="AA1433" s="2"/>
    </row>
    <row r="1434" spans="21:27" ht="20.100000000000001" customHeight="1" x14ac:dyDescent="0.2">
      <c r="U1434" s="2"/>
      <c r="V1434" s="2"/>
      <c r="W1434" s="2"/>
      <c r="X1434" s="2"/>
      <c r="Y1434" s="2"/>
      <c r="Z1434" s="2"/>
      <c r="AA1434" s="2"/>
    </row>
    <row r="1435" spans="21:27" ht="20.100000000000001" customHeight="1" x14ac:dyDescent="0.2">
      <c r="U1435" s="2"/>
      <c r="V1435" s="2"/>
      <c r="W1435" s="2"/>
      <c r="X1435" s="2"/>
      <c r="Y1435" s="2"/>
      <c r="Z1435" s="2"/>
      <c r="AA1435" s="2"/>
    </row>
    <row r="1436" spans="21:27" ht="20.100000000000001" customHeight="1" x14ac:dyDescent="0.2">
      <c r="U1436" s="2"/>
      <c r="V1436" s="2"/>
      <c r="W1436" s="2"/>
      <c r="X1436" s="2"/>
      <c r="Y1436" s="2"/>
      <c r="Z1436" s="2"/>
      <c r="AA1436" s="2"/>
    </row>
    <row r="1437" spans="21:27" ht="20.100000000000001" customHeight="1" x14ac:dyDescent="0.2">
      <c r="U1437" s="2"/>
      <c r="V1437" s="2"/>
      <c r="W1437" s="2"/>
      <c r="X1437" s="2"/>
      <c r="Y1437" s="2"/>
      <c r="Z1437" s="2"/>
      <c r="AA1437" s="2"/>
    </row>
    <row r="1438" spans="21:27" ht="20.100000000000001" customHeight="1" x14ac:dyDescent="0.2">
      <c r="U1438" s="2"/>
      <c r="V1438" s="2"/>
      <c r="W1438" s="2"/>
      <c r="X1438" s="2"/>
      <c r="Y1438" s="2"/>
      <c r="Z1438" s="2"/>
      <c r="AA1438" s="2"/>
    </row>
    <row r="1439" spans="21:27" ht="20.100000000000001" customHeight="1" x14ac:dyDescent="0.2">
      <c r="U1439" s="2"/>
      <c r="V1439" s="2"/>
      <c r="W1439" s="2"/>
      <c r="X1439" s="2"/>
      <c r="Y1439" s="2"/>
      <c r="Z1439" s="2"/>
      <c r="AA1439" s="2"/>
    </row>
    <row r="1440" spans="21:27" ht="20.100000000000001" customHeight="1" x14ac:dyDescent="0.2">
      <c r="U1440" s="2"/>
      <c r="V1440" s="2"/>
      <c r="W1440" s="2"/>
      <c r="X1440" s="2"/>
      <c r="Y1440" s="2"/>
      <c r="Z1440" s="2"/>
      <c r="AA1440" s="2"/>
    </row>
    <row r="1441" spans="21:27" ht="20.100000000000001" customHeight="1" x14ac:dyDescent="0.2">
      <c r="U1441" s="2"/>
      <c r="V1441" s="2"/>
      <c r="W1441" s="2"/>
      <c r="X1441" s="2"/>
      <c r="Y1441" s="2"/>
      <c r="Z1441" s="2"/>
      <c r="AA1441" s="2"/>
    </row>
    <row r="1442" spans="21:27" ht="20.100000000000001" customHeight="1" x14ac:dyDescent="0.2">
      <c r="U1442" s="2"/>
      <c r="V1442" s="2"/>
      <c r="W1442" s="2"/>
      <c r="X1442" s="2"/>
      <c r="Y1442" s="2"/>
      <c r="Z1442" s="2"/>
      <c r="AA1442" s="2"/>
    </row>
    <row r="1443" spans="21:27" ht="20.100000000000001" customHeight="1" x14ac:dyDescent="0.2">
      <c r="U1443" s="2"/>
      <c r="V1443" s="2"/>
      <c r="W1443" s="2"/>
      <c r="X1443" s="2"/>
      <c r="Y1443" s="2"/>
      <c r="Z1443" s="2"/>
      <c r="AA1443" s="2"/>
    </row>
    <row r="1444" spans="21:27" ht="20.100000000000001" customHeight="1" x14ac:dyDescent="0.2">
      <c r="U1444" s="2"/>
      <c r="V1444" s="2"/>
      <c r="W1444" s="2"/>
      <c r="X1444" s="2"/>
      <c r="Y1444" s="2"/>
      <c r="Z1444" s="2"/>
      <c r="AA1444" s="2"/>
    </row>
    <row r="1445" spans="21:27" ht="20.100000000000001" customHeight="1" x14ac:dyDescent="0.2">
      <c r="U1445" s="2"/>
      <c r="V1445" s="2"/>
      <c r="W1445" s="2"/>
      <c r="X1445" s="2"/>
      <c r="Y1445" s="2"/>
      <c r="Z1445" s="2"/>
      <c r="AA1445" s="2"/>
    </row>
    <row r="1446" spans="21:27" ht="20.100000000000001" customHeight="1" x14ac:dyDescent="0.2">
      <c r="U1446" s="2"/>
      <c r="V1446" s="2"/>
      <c r="W1446" s="2"/>
      <c r="X1446" s="2"/>
      <c r="Y1446" s="2"/>
      <c r="Z1446" s="2"/>
      <c r="AA1446" s="2"/>
    </row>
    <row r="1447" spans="21:27" ht="20.100000000000001" customHeight="1" x14ac:dyDescent="0.2">
      <c r="U1447" s="2"/>
      <c r="V1447" s="2"/>
      <c r="W1447" s="2"/>
      <c r="X1447" s="2"/>
      <c r="Y1447" s="2"/>
      <c r="Z1447" s="2"/>
      <c r="AA1447" s="2"/>
    </row>
    <row r="1448" spans="21:27" ht="20.100000000000001" customHeight="1" x14ac:dyDescent="0.2">
      <c r="U1448" s="2"/>
      <c r="V1448" s="2"/>
      <c r="W1448" s="2"/>
      <c r="X1448" s="2"/>
      <c r="Y1448" s="2"/>
      <c r="Z1448" s="2"/>
      <c r="AA1448" s="2"/>
    </row>
    <row r="1449" spans="21:27" ht="20.100000000000001" customHeight="1" x14ac:dyDescent="0.2">
      <c r="U1449" s="2"/>
      <c r="V1449" s="2"/>
      <c r="W1449" s="2"/>
      <c r="X1449" s="2"/>
      <c r="Y1449" s="2"/>
      <c r="Z1449" s="2"/>
      <c r="AA1449" s="2"/>
    </row>
    <row r="1450" spans="21:27" ht="20.100000000000001" customHeight="1" x14ac:dyDescent="0.2">
      <c r="U1450" s="2"/>
      <c r="V1450" s="2"/>
      <c r="W1450" s="2"/>
      <c r="X1450" s="2"/>
      <c r="Y1450" s="2"/>
      <c r="Z1450" s="2"/>
      <c r="AA1450" s="2"/>
    </row>
    <row r="1451" spans="21:27" ht="20.100000000000001" customHeight="1" x14ac:dyDescent="0.2">
      <c r="U1451" s="2"/>
      <c r="V1451" s="2"/>
      <c r="W1451" s="2"/>
      <c r="X1451" s="2"/>
      <c r="Y1451" s="2"/>
      <c r="Z1451" s="2"/>
      <c r="AA1451" s="2"/>
    </row>
    <row r="1452" spans="21:27" ht="20.100000000000001" customHeight="1" x14ac:dyDescent="0.2">
      <c r="U1452" s="2"/>
      <c r="V1452" s="2"/>
      <c r="W1452" s="2"/>
      <c r="X1452" s="2"/>
      <c r="Y1452" s="2"/>
      <c r="Z1452" s="2"/>
      <c r="AA1452" s="2"/>
    </row>
    <row r="1453" spans="21:27" ht="20.100000000000001" customHeight="1" x14ac:dyDescent="0.2">
      <c r="U1453" s="2"/>
      <c r="V1453" s="2"/>
      <c r="W1453" s="2"/>
      <c r="X1453" s="2"/>
      <c r="Y1453" s="2"/>
      <c r="Z1453" s="2"/>
      <c r="AA1453" s="2"/>
    </row>
    <row r="1454" spans="21:27" ht="20.100000000000001" customHeight="1" x14ac:dyDescent="0.2">
      <c r="U1454" s="2"/>
      <c r="V1454" s="2"/>
      <c r="W1454" s="2"/>
      <c r="X1454" s="2"/>
      <c r="Y1454" s="2"/>
      <c r="Z1454" s="2"/>
      <c r="AA1454" s="2"/>
    </row>
    <row r="1455" spans="21:27" ht="20.100000000000001" customHeight="1" x14ac:dyDescent="0.2">
      <c r="U1455" s="2"/>
      <c r="V1455" s="2"/>
      <c r="W1455" s="2"/>
      <c r="X1455" s="2"/>
      <c r="Y1455" s="2"/>
      <c r="Z1455" s="2"/>
      <c r="AA1455" s="2"/>
    </row>
    <row r="1456" spans="21:27" ht="20.100000000000001" customHeight="1" x14ac:dyDescent="0.2">
      <c r="U1456" s="2"/>
      <c r="V1456" s="2"/>
      <c r="W1456" s="2"/>
      <c r="X1456" s="2"/>
      <c r="Y1456" s="2"/>
      <c r="Z1456" s="2"/>
      <c r="AA1456" s="2"/>
    </row>
    <row r="1457" spans="21:27" ht="20.100000000000001" customHeight="1" x14ac:dyDescent="0.2">
      <c r="U1457" s="2"/>
      <c r="V1457" s="2"/>
      <c r="W1457" s="2"/>
      <c r="X1457" s="2"/>
      <c r="Y1457" s="2"/>
      <c r="Z1457" s="2"/>
      <c r="AA1457" s="2"/>
    </row>
    <row r="1458" spans="21:27" ht="20.100000000000001" customHeight="1" x14ac:dyDescent="0.2">
      <c r="U1458" s="2"/>
      <c r="V1458" s="2"/>
      <c r="W1458" s="2"/>
      <c r="X1458" s="2"/>
      <c r="Y1458" s="2"/>
      <c r="Z1458" s="2"/>
      <c r="AA1458" s="2"/>
    </row>
    <row r="1459" spans="21:27" ht="20.100000000000001" customHeight="1" x14ac:dyDescent="0.2">
      <c r="U1459" s="2"/>
      <c r="V1459" s="2"/>
      <c r="W1459" s="2"/>
      <c r="X1459" s="2"/>
      <c r="Y1459" s="2"/>
      <c r="Z1459" s="2"/>
      <c r="AA1459" s="2"/>
    </row>
    <row r="1460" spans="21:27" ht="20.100000000000001" customHeight="1" x14ac:dyDescent="0.2">
      <c r="U1460" s="2"/>
      <c r="V1460" s="2"/>
      <c r="W1460" s="2"/>
      <c r="X1460" s="2"/>
      <c r="Y1460" s="2"/>
      <c r="Z1460" s="2"/>
      <c r="AA1460" s="2"/>
    </row>
    <row r="1461" spans="21:27" ht="20.100000000000001" customHeight="1" x14ac:dyDescent="0.2">
      <c r="U1461" s="2"/>
      <c r="V1461" s="2"/>
      <c r="W1461" s="2"/>
      <c r="X1461" s="2"/>
      <c r="Y1461" s="2"/>
      <c r="Z1461" s="2"/>
      <c r="AA1461" s="2"/>
    </row>
    <row r="1462" spans="21:27" ht="20.100000000000001" customHeight="1" x14ac:dyDescent="0.2">
      <c r="U1462" s="2"/>
      <c r="V1462" s="2"/>
      <c r="W1462" s="2"/>
      <c r="X1462" s="2"/>
      <c r="Y1462" s="2"/>
      <c r="Z1462" s="2"/>
      <c r="AA1462" s="2"/>
    </row>
    <row r="1463" spans="21:27" ht="20.100000000000001" customHeight="1" x14ac:dyDescent="0.2">
      <c r="U1463" s="2"/>
      <c r="V1463" s="2"/>
      <c r="W1463" s="2"/>
      <c r="X1463" s="2"/>
      <c r="Y1463" s="2"/>
      <c r="Z1463" s="2"/>
      <c r="AA1463" s="2"/>
    </row>
    <row r="1464" spans="21:27" ht="20.100000000000001" customHeight="1" x14ac:dyDescent="0.2">
      <c r="U1464" s="2"/>
      <c r="V1464" s="2"/>
      <c r="W1464" s="2"/>
      <c r="X1464" s="2"/>
      <c r="Y1464" s="2"/>
      <c r="Z1464" s="2"/>
      <c r="AA1464" s="2"/>
    </row>
    <row r="1465" spans="21:27" ht="20.100000000000001" customHeight="1" x14ac:dyDescent="0.2">
      <c r="U1465" s="2"/>
      <c r="V1465" s="2"/>
      <c r="W1465" s="2"/>
      <c r="X1465" s="2"/>
      <c r="Y1465" s="2"/>
      <c r="Z1465" s="2"/>
      <c r="AA1465" s="2"/>
    </row>
    <row r="1466" spans="21:27" ht="20.100000000000001" customHeight="1" x14ac:dyDescent="0.2">
      <c r="U1466" s="2"/>
      <c r="V1466" s="2"/>
      <c r="W1466" s="2"/>
      <c r="X1466" s="2"/>
      <c r="Y1466" s="2"/>
      <c r="Z1466" s="2"/>
      <c r="AA1466" s="2"/>
    </row>
    <row r="1467" spans="21:27" ht="20.100000000000001" customHeight="1" x14ac:dyDescent="0.2">
      <c r="U1467" s="2"/>
      <c r="V1467" s="2"/>
      <c r="W1467" s="2"/>
      <c r="X1467" s="2"/>
      <c r="Y1467" s="2"/>
      <c r="Z1467" s="2"/>
      <c r="AA1467" s="2"/>
    </row>
    <row r="1468" spans="21:27" ht="20.100000000000001" customHeight="1" x14ac:dyDescent="0.2">
      <c r="U1468" s="2"/>
      <c r="V1468" s="2"/>
      <c r="W1468" s="2"/>
      <c r="X1468" s="2"/>
      <c r="Y1468" s="2"/>
      <c r="Z1468" s="2"/>
      <c r="AA1468" s="2"/>
    </row>
    <row r="1469" spans="21:27" ht="20.100000000000001" customHeight="1" x14ac:dyDescent="0.2">
      <c r="U1469" s="2"/>
      <c r="V1469" s="2"/>
      <c r="W1469" s="2"/>
      <c r="X1469" s="2"/>
      <c r="Y1469" s="2"/>
      <c r="Z1469" s="2"/>
      <c r="AA1469" s="2"/>
    </row>
    <row r="1470" spans="21:27" ht="20.100000000000001" customHeight="1" x14ac:dyDescent="0.2">
      <c r="U1470" s="2"/>
      <c r="V1470" s="2"/>
      <c r="W1470" s="2"/>
      <c r="X1470" s="2"/>
      <c r="Y1470" s="2"/>
      <c r="Z1470" s="2"/>
      <c r="AA1470" s="2"/>
    </row>
    <row r="1471" spans="21:27" ht="20.100000000000001" customHeight="1" x14ac:dyDescent="0.2">
      <c r="U1471" s="2"/>
      <c r="V1471" s="2"/>
      <c r="W1471" s="2"/>
      <c r="X1471" s="2"/>
      <c r="Y1471" s="2"/>
      <c r="Z1471" s="2"/>
      <c r="AA1471" s="2"/>
    </row>
    <row r="1472" spans="21:27" ht="20.100000000000001" customHeight="1" x14ac:dyDescent="0.2">
      <c r="U1472" s="2"/>
      <c r="V1472" s="2"/>
      <c r="W1472" s="2"/>
      <c r="X1472" s="2"/>
      <c r="Y1472" s="2"/>
      <c r="Z1472" s="2"/>
      <c r="AA1472" s="2"/>
    </row>
    <row r="1473" spans="21:27" ht="20.100000000000001" customHeight="1" x14ac:dyDescent="0.2">
      <c r="U1473" s="2"/>
      <c r="V1473" s="2"/>
      <c r="W1473" s="2"/>
      <c r="X1473" s="2"/>
      <c r="Y1473" s="2"/>
      <c r="Z1473" s="2"/>
      <c r="AA1473" s="2"/>
    </row>
    <row r="1474" spans="21:27" ht="20.100000000000001" customHeight="1" x14ac:dyDescent="0.2">
      <c r="U1474" s="2"/>
      <c r="V1474" s="2"/>
      <c r="W1474" s="2"/>
      <c r="X1474" s="2"/>
      <c r="Y1474" s="2"/>
      <c r="Z1474" s="2"/>
      <c r="AA1474" s="2"/>
    </row>
    <row r="1475" spans="21:27" ht="20.100000000000001" customHeight="1" x14ac:dyDescent="0.2">
      <c r="U1475" s="2"/>
      <c r="V1475" s="2"/>
      <c r="W1475" s="2"/>
      <c r="X1475" s="2"/>
      <c r="Y1475" s="2"/>
      <c r="Z1475" s="2"/>
      <c r="AA1475" s="2"/>
    </row>
    <row r="1476" spans="21:27" ht="20.100000000000001" customHeight="1" x14ac:dyDescent="0.2">
      <c r="U1476" s="2"/>
      <c r="V1476" s="2"/>
      <c r="W1476" s="2"/>
      <c r="X1476" s="2"/>
      <c r="Y1476" s="2"/>
      <c r="Z1476" s="2"/>
      <c r="AA1476" s="2"/>
    </row>
    <row r="1477" spans="21:27" ht="20.100000000000001" customHeight="1" x14ac:dyDescent="0.2">
      <c r="U1477" s="2"/>
      <c r="V1477" s="2"/>
      <c r="W1477" s="2"/>
      <c r="X1477" s="2"/>
      <c r="Y1477" s="2"/>
      <c r="Z1477" s="2"/>
      <c r="AA1477" s="2"/>
    </row>
    <row r="1478" spans="21:27" ht="20.100000000000001" customHeight="1" x14ac:dyDescent="0.2">
      <c r="U1478" s="2"/>
      <c r="V1478" s="2"/>
      <c r="W1478" s="2"/>
      <c r="X1478" s="2"/>
      <c r="Y1478" s="2"/>
      <c r="Z1478" s="2"/>
      <c r="AA1478" s="2"/>
    </row>
    <row r="1479" spans="21:27" ht="20.100000000000001" customHeight="1" x14ac:dyDescent="0.2">
      <c r="U1479" s="2"/>
      <c r="V1479" s="2"/>
      <c r="W1479" s="2"/>
      <c r="X1479" s="2"/>
      <c r="Y1479" s="2"/>
      <c r="Z1479" s="2"/>
      <c r="AA1479" s="2"/>
    </row>
    <row r="1480" spans="21:27" ht="20.100000000000001" customHeight="1" x14ac:dyDescent="0.2">
      <c r="U1480" s="2"/>
      <c r="V1480" s="2"/>
      <c r="W1480" s="2"/>
      <c r="X1480" s="2"/>
      <c r="Y1480" s="2"/>
      <c r="Z1480" s="2"/>
      <c r="AA1480" s="2"/>
    </row>
    <row r="1481" spans="21:27" ht="20.100000000000001" customHeight="1" x14ac:dyDescent="0.2">
      <c r="U1481" s="2"/>
      <c r="V1481" s="2"/>
      <c r="W1481" s="2"/>
      <c r="X1481" s="2"/>
      <c r="Y1481" s="2"/>
      <c r="Z1481" s="2"/>
      <c r="AA1481" s="2"/>
    </row>
    <row r="1482" spans="21:27" ht="20.100000000000001" customHeight="1" x14ac:dyDescent="0.2">
      <c r="U1482" s="2"/>
      <c r="V1482" s="2"/>
      <c r="W1482" s="2"/>
      <c r="X1482" s="2"/>
      <c r="Y1482" s="2"/>
      <c r="Z1482" s="2"/>
      <c r="AA1482" s="2"/>
    </row>
    <row r="1483" spans="21:27" ht="20.100000000000001" customHeight="1" x14ac:dyDescent="0.2">
      <c r="U1483" s="2"/>
      <c r="V1483" s="2"/>
      <c r="W1483" s="2"/>
      <c r="X1483" s="2"/>
      <c r="Y1483" s="2"/>
      <c r="Z1483" s="2"/>
      <c r="AA1483" s="2"/>
    </row>
    <row r="1484" spans="21:27" ht="20.100000000000001" customHeight="1" x14ac:dyDescent="0.2">
      <c r="U1484" s="2"/>
      <c r="V1484" s="2"/>
      <c r="W1484" s="2"/>
      <c r="X1484" s="2"/>
      <c r="Y1484" s="2"/>
      <c r="Z1484" s="2"/>
      <c r="AA1484" s="2"/>
    </row>
    <row r="1485" spans="21:27" ht="20.100000000000001" customHeight="1" x14ac:dyDescent="0.2">
      <c r="U1485" s="2"/>
      <c r="V1485" s="2"/>
      <c r="W1485" s="2"/>
      <c r="X1485" s="2"/>
      <c r="Y1485" s="2"/>
      <c r="Z1485" s="2"/>
      <c r="AA1485" s="2"/>
    </row>
    <row r="1486" spans="21:27" ht="20.100000000000001" customHeight="1" x14ac:dyDescent="0.2">
      <c r="U1486" s="2"/>
      <c r="V1486" s="2"/>
      <c r="W1486" s="2"/>
      <c r="X1486" s="2"/>
      <c r="Y1486" s="2"/>
      <c r="Z1486" s="2"/>
      <c r="AA1486" s="2"/>
    </row>
    <row r="1487" spans="21:27" ht="20.100000000000001" customHeight="1" x14ac:dyDescent="0.2">
      <c r="U1487" s="2"/>
      <c r="V1487" s="2"/>
      <c r="W1487" s="2"/>
      <c r="X1487" s="2"/>
      <c r="Y1487" s="2"/>
      <c r="Z1487" s="2"/>
      <c r="AA1487" s="2"/>
    </row>
    <row r="1488" spans="21:27" ht="20.100000000000001" customHeight="1" x14ac:dyDescent="0.2">
      <c r="U1488" s="2"/>
      <c r="V1488" s="2"/>
      <c r="W1488" s="2"/>
      <c r="X1488" s="2"/>
      <c r="Y1488" s="2"/>
      <c r="Z1488" s="2"/>
      <c r="AA1488" s="2"/>
    </row>
    <row r="1489" spans="21:27" ht="20.100000000000001" customHeight="1" x14ac:dyDescent="0.2">
      <c r="U1489" s="2"/>
      <c r="V1489" s="2"/>
      <c r="W1489" s="2"/>
      <c r="X1489" s="2"/>
      <c r="Y1489" s="2"/>
      <c r="Z1489" s="2"/>
      <c r="AA1489" s="2"/>
    </row>
    <row r="1490" spans="21:27" ht="20.100000000000001" customHeight="1" x14ac:dyDescent="0.2">
      <c r="U1490" s="2"/>
      <c r="V1490" s="2"/>
      <c r="W1490" s="2"/>
      <c r="X1490" s="2"/>
      <c r="Y1490" s="2"/>
      <c r="Z1490" s="2"/>
      <c r="AA1490" s="2"/>
    </row>
    <row r="1491" spans="21:27" ht="20.100000000000001" customHeight="1" x14ac:dyDescent="0.2">
      <c r="U1491" s="2"/>
      <c r="V1491" s="2"/>
      <c r="W1491" s="2"/>
      <c r="X1491" s="2"/>
      <c r="Y1491" s="2"/>
      <c r="Z1491" s="2"/>
      <c r="AA1491" s="2"/>
    </row>
    <row r="1492" spans="21:27" ht="20.100000000000001" customHeight="1" x14ac:dyDescent="0.2">
      <c r="U1492" s="2"/>
      <c r="V1492" s="2"/>
      <c r="W1492" s="2"/>
      <c r="X1492" s="2"/>
      <c r="Y1492" s="2"/>
      <c r="Z1492" s="2"/>
      <c r="AA1492" s="2"/>
    </row>
    <row r="1493" spans="21:27" ht="20.100000000000001" customHeight="1" x14ac:dyDescent="0.2">
      <c r="U1493" s="2"/>
      <c r="V1493" s="2"/>
      <c r="W1493" s="2"/>
      <c r="X1493" s="2"/>
      <c r="Y1493" s="2"/>
      <c r="Z1493" s="2"/>
      <c r="AA1493" s="2"/>
    </row>
    <row r="1494" spans="21:27" ht="20.100000000000001" customHeight="1" x14ac:dyDescent="0.2">
      <c r="U1494" s="2"/>
      <c r="V1494" s="2"/>
      <c r="W1494" s="2"/>
      <c r="X1494" s="2"/>
      <c r="Y1494" s="2"/>
      <c r="Z1494" s="2"/>
      <c r="AA1494" s="2"/>
    </row>
    <row r="1495" spans="21:27" ht="20.100000000000001" customHeight="1" x14ac:dyDescent="0.2">
      <c r="U1495" s="2"/>
      <c r="V1495" s="2"/>
      <c r="W1495" s="2"/>
      <c r="X1495" s="2"/>
      <c r="Y1495" s="2"/>
      <c r="Z1495" s="2"/>
      <c r="AA1495" s="2"/>
    </row>
    <row r="1496" spans="21:27" ht="20.100000000000001" customHeight="1" x14ac:dyDescent="0.2">
      <c r="U1496" s="2"/>
      <c r="V1496" s="2"/>
      <c r="W1496" s="2"/>
      <c r="X1496" s="2"/>
      <c r="Y1496" s="2"/>
      <c r="Z1496" s="2"/>
      <c r="AA1496" s="2"/>
    </row>
    <row r="1497" spans="21:27" ht="20.100000000000001" customHeight="1" x14ac:dyDescent="0.2">
      <c r="U1497" s="2"/>
      <c r="V1497" s="2"/>
      <c r="W1497" s="2"/>
      <c r="X1497" s="2"/>
      <c r="Y1497" s="2"/>
      <c r="Z1497" s="2"/>
      <c r="AA1497" s="2"/>
    </row>
    <row r="1498" spans="21:27" ht="20.100000000000001" customHeight="1" x14ac:dyDescent="0.2">
      <c r="U1498" s="2"/>
      <c r="V1498" s="2"/>
      <c r="W1498" s="2"/>
      <c r="X1498" s="2"/>
      <c r="Y1498" s="2"/>
      <c r="Z1498" s="2"/>
      <c r="AA1498" s="2"/>
    </row>
    <row r="1499" spans="21:27" ht="20.100000000000001" customHeight="1" x14ac:dyDescent="0.2">
      <c r="U1499" s="2"/>
      <c r="V1499" s="2"/>
      <c r="W1499" s="2"/>
      <c r="X1499" s="2"/>
      <c r="Y1499" s="2"/>
      <c r="Z1499" s="2"/>
      <c r="AA1499" s="2"/>
    </row>
    <row r="1500" spans="21:27" ht="20.100000000000001" customHeight="1" x14ac:dyDescent="0.2">
      <c r="U1500" s="2"/>
      <c r="V1500" s="2"/>
      <c r="W1500" s="2"/>
      <c r="X1500" s="2"/>
      <c r="Y1500" s="2"/>
      <c r="Z1500" s="2"/>
      <c r="AA1500" s="2"/>
    </row>
    <row r="1501" spans="21:27" ht="20.100000000000001" customHeight="1" x14ac:dyDescent="0.2">
      <c r="U1501" s="2"/>
      <c r="V1501" s="2"/>
      <c r="W1501" s="2"/>
      <c r="X1501" s="2"/>
      <c r="Y1501" s="2"/>
      <c r="Z1501" s="2"/>
      <c r="AA1501" s="2"/>
    </row>
    <row r="1502" spans="21:27" ht="20.100000000000001" customHeight="1" x14ac:dyDescent="0.2">
      <c r="U1502" s="2"/>
      <c r="V1502" s="2"/>
      <c r="W1502" s="2"/>
      <c r="X1502" s="2"/>
      <c r="Y1502" s="2"/>
      <c r="Z1502" s="2"/>
      <c r="AA1502" s="2"/>
    </row>
    <row r="1503" spans="21:27" ht="20.100000000000001" customHeight="1" x14ac:dyDescent="0.2">
      <c r="U1503" s="2"/>
      <c r="V1503" s="2"/>
      <c r="W1503" s="2"/>
      <c r="X1503" s="2"/>
      <c r="Y1503" s="2"/>
      <c r="Z1503" s="2"/>
      <c r="AA1503" s="2"/>
    </row>
    <row r="1504" spans="21:27" ht="20.100000000000001" customHeight="1" x14ac:dyDescent="0.2">
      <c r="U1504" s="2"/>
      <c r="V1504" s="2"/>
      <c r="W1504" s="2"/>
      <c r="X1504" s="2"/>
      <c r="Y1504" s="2"/>
      <c r="Z1504" s="2"/>
      <c r="AA1504" s="2"/>
    </row>
    <row r="1505" spans="21:27" ht="20.100000000000001" customHeight="1" x14ac:dyDescent="0.2">
      <c r="U1505" s="2"/>
      <c r="V1505" s="2"/>
      <c r="W1505" s="2"/>
      <c r="X1505" s="2"/>
      <c r="Y1505" s="2"/>
      <c r="Z1505" s="2"/>
      <c r="AA1505" s="2"/>
    </row>
    <row r="1506" spans="21:27" ht="20.100000000000001" customHeight="1" x14ac:dyDescent="0.2">
      <c r="U1506" s="2"/>
      <c r="V1506" s="2"/>
      <c r="W1506" s="2"/>
      <c r="X1506" s="2"/>
      <c r="Y1506" s="2"/>
      <c r="Z1506" s="2"/>
      <c r="AA1506" s="2"/>
    </row>
    <row r="1507" spans="21:27" ht="20.100000000000001" customHeight="1" x14ac:dyDescent="0.2">
      <c r="U1507" s="2"/>
      <c r="V1507" s="2"/>
      <c r="W1507" s="2"/>
      <c r="X1507" s="2"/>
      <c r="Y1507" s="2"/>
      <c r="Z1507" s="2"/>
      <c r="AA1507" s="2"/>
    </row>
    <row r="1508" spans="21:27" ht="20.100000000000001" customHeight="1" x14ac:dyDescent="0.2">
      <c r="U1508" s="2"/>
      <c r="V1508" s="2"/>
      <c r="W1508" s="2"/>
      <c r="X1508" s="2"/>
      <c r="Y1508" s="2"/>
      <c r="Z1508" s="2"/>
      <c r="AA1508" s="2"/>
    </row>
    <row r="1509" spans="21:27" ht="20.100000000000001" customHeight="1" x14ac:dyDescent="0.2">
      <c r="U1509" s="2"/>
      <c r="V1509" s="2"/>
      <c r="W1509" s="2"/>
      <c r="X1509" s="2"/>
      <c r="Y1509" s="2"/>
      <c r="Z1509" s="2"/>
      <c r="AA1509" s="2"/>
    </row>
    <row r="1510" spans="21:27" ht="20.100000000000001" customHeight="1" x14ac:dyDescent="0.2">
      <c r="U1510" s="2"/>
      <c r="V1510" s="2"/>
      <c r="W1510" s="2"/>
      <c r="X1510" s="2"/>
      <c r="Y1510" s="2"/>
      <c r="Z1510" s="2"/>
      <c r="AA1510" s="2"/>
    </row>
    <row r="1511" spans="21:27" ht="20.100000000000001" customHeight="1" x14ac:dyDescent="0.2">
      <c r="U1511" s="2"/>
      <c r="V1511" s="2"/>
      <c r="W1511" s="2"/>
      <c r="X1511" s="2"/>
      <c r="Y1511" s="2"/>
      <c r="Z1511" s="2"/>
      <c r="AA1511" s="2"/>
    </row>
    <row r="1512" spans="21:27" ht="20.100000000000001" customHeight="1" x14ac:dyDescent="0.2">
      <c r="U1512" s="2"/>
      <c r="V1512" s="2"/>
      <c r="W1512" s="2"/>
      <c r="X1512" s="2"/>
      <c r="Y1512" s="2"/>
      <c r="Z1512" s="2"/>
      <c r="AA1512" s="2"/>
    </row>
    <row r="1513" spans="21:27" ht="20.100000000000001" customHeight="1" x14ac:dyDescent="0.2">
      <c r="U1513" s="2"/>
      <c r="V1513" s="2"/>
      <c r="W1513" s="2"/>
      <c r="X1513" s="2"/>
      <c r="Y1513" s="2"/>
      <c r="Z1513" s="2"/>
      <c r="AA1513" s="2"/>
    </row>
    <row r="1514" spans="21:27" ht="20.100000000000001" customHeight="1" x14ac:dyDescent="0.2">
      <c r="U1514" s="2"/>
      <c r="V1514" s="2"/>
      <c r="W1514" s="2"/>
      <c r="X1514" s="2"/>
      <c r="Y1514" s="2"/>
      <c r="Z1514" s="2"/>
      <c r="AA1514" s="2"/>
    </row>
    <row r="1515" spans="21:27" ht="20.100000000000001" customHeight="1" x14ac:dyDescent="0.2">
      <c r="U1515" s="2"/>
      <c r="V1515" s="2"/>
      <c r="W1515" s="2"/>
      <c r="X1515" s="2"/>
      <c r="Y1515" s="2"/>
      <c r="Z1515" s="2"/>
      <c r="AA1515" s="2"/>
    </row>
    <row r="1516" spans="21:27" ht="20.100000000000001" customHeight="1" x14ac:dyDescent="0.2">
      <c r="U1516" s="2"/>
      <c r="V1516" s="2"/>
      <c r="W1516" s="2"/>
      <c r="X1516" s="2"/>
      <c r="Y1516" s="2"/>
      <c r="Z1516" s="2"/>
      <c r="AA1516" s="2"/>
    </row>
    <row r="1517" spans="21:27" ht="20.100000000000001" customHeight="1" x14ac:dyDescent="0.2">
      <c r="U1517" s="2"/>
      <c r="V1517" s="2"/>
      <c r="W1517" s="2"/>
      <c r="X1517" s="2"/>
      <c r="Y1517" s="2"/>
      <c r="Z1517" s="2"/>
      <c r="AA1517" s="2"/>
    </row>
    <row r="1518" spans="21:27" ht="20.100000000000001" customHeight="1" x14ac:dyDescent="0.2">
      <c r="U1518" s="2"/>
      <c r="V1518" s="2"/>
      <c r="W1518" s="2"/>
      <c r="X1518" s="2"/>
      <c r="Y1518" s="2"/>
      <c r="Z1518" s="2"/>
      <c r="AA1518" s="2"/>
    </row>
    <row r="1519" spans="21:27" ht="20.100000000000001" customHeight="1" x14ac:dyDescent="0.2">
      <c r="U1519" s="2"/>
      <c r="V1519" s="2"/>
      <c r="W1519" s="2"/>
      <c r="X1519" s="2"/>
      <c r="Y1519" s="2"/>
      <c r="Z1519" s="2"/>
      <c r="AA1519" s="2"/>
    </row>
    <row r="1520" spans="21:27" ht="20.100000000000001" customHeight="1" x14ac:dyDescent="0.2">
      <c r="U1520" s="2"/>
      <c r="V1520" s="2"/>
      <c r="W1520" s="2"/>
      <c r="X1520" s="2"/>
      <c r="Y1520" s="2"/>
      <c r="Z1520" s="2"/>
      <c r="AA1520" s="2"/>
    </row>
    <row r="1521" spans="21:27" ht="20.100000000000001" customHeight="1" x14ac:dyDescent="0.2">
      <c r="U1521" s="2"/>
      <c r="V1521" s="2"/>
      <c r="W1521" s="2"/>
      <c r="X1521" s="2"/>
      <c r="Y1521" s="2"/>
      <c r="Z1521" s="2"/>
      <c r="AA1521" s="2"/>
    </row>
    <row r="1522" spans="21:27" ht="20.100000000000001" customHeight="1" x14ac:dyDescent="0.2">
      <c r="U1522" s="2"/>
      <c r="V1522" s="2"/>
      <c r="W1522" s="2"/>
      <c r="X1522" s="2"/>
      <c r="Y1522" s="2"/>
      <c r="Z1522" s="2"/>
      <c r="AA1522" s="2"/>
    </row>
    <row r="1523" spans="21:27" ht="20.100000000000001" customHeight="1" x14ac:dyDescent="0.2">
      <c r="U1523" s="2"/>
      <c r="V1523" s="2"/>
      <c r="W1523" s="2"/>
      <c r="X1523" s="2"/>
      <c r="Y1523" s="2"/>
      <c r="Z1523" s="2"/>
      <c r="AA1523" s="2"/>
    </row>
    <row r="1524" spans="21:27" ht="20.100000000000001" customHeight="1" x14ac:dyDescent="0.2">
      <c r="U1524" s="2"/>
      <c r="V1524" s="2"/>
      <c r="W1524" s="2"/>
      <c r="X1524" s="2"/>
      <c r="Y1524" s="2"/>
      <c r="Z1524" s="2"/>
      <c r="AA1524" s="2"/>
    </row>
    <row r="1525" spans="21:27" ht="20.100000000000001" customHeight="1" x14ac:dyDescent="0.2">
      <c r="U1525" s="2"/>
      <c r="V1525" s="2"/>
      <c r="W1525" s="2"/>
      <c r="X1525" s="2"/>
      <c r="Y1525" s="2"/>
      <c r="Z1525" s="2"/>
      <c r="AA1525" s="2"/>
    </row>
    <row r="1526" spans="21:27" ht="20.100000000000001" customHeight="1" x14ac:dyDescent="0.2">
      <c r="U1526" s="2"/>
      <c r="V1526" s="2"/>
      <c r="W1526" s="2"/>
      <c r="X1526" s="2"/>
      <c r="Y1526" s="2"/>
      <c r="Z1526" s="2"/>
      <c r="AA1526" s="2"/>
    </row>
    <row r="1527" spans="21:27" ht="20.100000000000001" customHeight="1" x14ac:dyDescent="0.2">
      <c r="U1527" s="2"/>
      <c r="V1527" s="2"/>
      <c r="W1527" s="2"/>
      <c r="X1527" s="2"/>
      <c r="Y1527" s="2"/>
      <c r="Z1527" s="2"/>
      <c r="AA1527" s="2"/>
    </row>
    <row r="1528" spans="21:27" ht="20.100000000000001" customHeight="1" x14ac:dyDescent="0.2">
      <c r="U1528" s="2"/>
      <c r="V1528" s="2"/>
      <c r="W1528" s="2"/>
      <c r="X1528" s="2"/>
      <c r="Y1528" s="2"/>
      <c r="Z1528" s="2"/>
      <c r="AA1528" s="2"/>
    </row>
    <row r="1529" spans="21:27" ht="20.100000000000001" customHeight="1" x14ac:dyDescent="0.2">
      <c r="U1529" s="2"/>
      <c r="V1529" s="2"/>
      <c r="W1529" s="2"/>
      <c r="X1529" s="2"/>
      <c r="Y1529" s="2"/>
      <c r="Z1529" s="2"/>
      <c r="AA1529" s="2"/>
    </row>
    <row r="1530" spans="21:27" ht="20.100000000000001" customHeight="1" x14ac:dyDescent="0.2">
      <c r="U1530" s="2"/>
      <c r="V1530" s="2"/>
      <c r="W1530" s="2"/>
      <c r="X1530" s="2"/>
      <c r="Y1530" s="2"/>
      <c r="Z1530" s="2"/>
      <c r="AA1530" s="2"/>
    </row>
    <row r="1531" spans="21:27" ht="20.100000000000001" customHeight="1" x14ac:dyDescent="0.2">
      <c r="U1531" s="2"/>
      <c r="V1531" s="2"/>
      <c r="W1531" s="2"/>
      <c r="X1531" s="2"/>
      <c r="Y1531" s="2"/>
      <c r="Z1531" s="2"/>
      <c r="AA1531" s="2"/>
    </row>
    <row r="1532" spans="21:27" ht="20.100000000000001" customHeight="1" x14ac:dyDescent="0.2">
      <c r="U1532" s="2"/>
      <c r="V1532" s="2"/>
      <c r="W1532" s="2"/>
      <c r="X1532" s="2"/>
      <c r="Y1532" s="2"/>
      <c r="Z1532" s="2"/>
      <c r="AA1532" s="2"/>
    </row>
    <row r="1533" spans="21:27" ht="20.100000000000001" customHeight="1" x14ac:dyDescent="0.2">
      <c r="U1533" s="2"/>
      <c r="V1533" s="2"/>
      <c r="W1533" s="2"/>
      <c r="X1533" s="2"/>
      <c r="Y1533" s="2"/>
      <c r="Z1533" s="2"/>
      <c r="AA1533" s="2"/>
    </row>
    <row r="1534" spans="21:27" ht="20.100000000000001" customHeight="1" x14ac:dyDescent="0.2">
      <c r="U1534" s="2"/>
      <c r="V1534" s="2"/>
      <c r="W1534" s="2"/>
      <c r="X1534" s="2"/>
      <c r="Y1534" s="2"/>
      <c r="Z1534" s="2"/>
      <c r="AA1534" s="2"/>
    </row>
    <row r="1535" spans="21:27" ht="20.100000000000001" customHeight="1" x14ac:dyDescent="0.2">
      <c r="U1535" s="2"/>
      <c r="V1535" s="2"/>
      <c r="W1535" s="2"/>
      <c r="X1535" s="2"/>
      <c r="Y1535" s="2"/>
      <c r="Z1535" s="2"/>
      <c r="AA1535" s="2"/>
    </row>
    <row r="1536" spans="21:27" ht="20.100000000000001" customHeight="1" x14ac:dyDescent="0.2">
      <c r="U1536" s="2"/>
      <c r="V1536" s="2"/>
      <c r="W1536" s="2"/>
      <c r="X1536" s="2"/>
      <c r="Y1536" s="2"/>
      <c r="Z1536" s="2"/>
      <c r="AA1536" s="2"/>
    </row>
    <row r="1537" spans="21:27" ht="20.100000000000001" customHeight="1" x14ac:dyDescent="0.2">
      <c r="U1537" s="2"/>
      <c r="V1537" s="2"/>
      <c r="W1537" s="2"/>
      <c r="X1537" s="2"/>
      <c r="Y1537" s="2"/>
      <c r="Z1537" s="2"/>
      <c r="AA1537" s="2"/>
    </row>
    <row r="1538" spans="21:27" ht="20.100000000000001" customHeight="1" x14ac:dyDescent="0.2">
      <c r="U1538" s="2"/>
      <c r="V1538" s="2"/>
      <c r="W1538" s="2"/>
      <c r="X1538" s="2"/>
      <c r="Y1538" s="2"/>
      <c r="Z1538" s="2"/>
      <c r="AA1538" s="2"/>
    </row>
    <row r="1539" spans="21:27" ht="20.100000000000001" customHeight="1" x14ac:dyDescent="0.2">
      <c r="U1539" s="2"/>
      <c r="V1539" s="2"/>
      <c r="W1539" s="2"/>
      <c r="X1539" s="2"/>
      <c r="Y1539" s="2"/>
      <c r="Z1539" s="2"/>
      <c r="AA1539" s="2"/>
    </row>
    <row r="1540" spans="21:27" ht="20.100000000000001" customHeight="1" x14ac:dyDescent="0.2">
      <c r="U1540" s="2"/>
      <c r="V1540" s="2"/>
      <c r="W1540" s="2"/>
      <c r="X1540" s="2"/>
      <c r="Y1540" s="2"/>
      <c r="Z1540" s="2"/>
      <c r="AA1540" s="2"/>
    </row>
    <row r="1541" spans="21:27" ht="20.100000000000001" customHeight="1" x14ac:dyDescent="0.2">
      <c r="U1541" s="2"/>
      <c r="V1541" s="2"/>
      <c r="W1541" s="2"/>
      <c r="X1541" s="2"/>
      <c r="Y1541" s="2"/>
      <c r="Z1541" s="2"/>
      <c r="AA1541" s="2"/>
    </row>
    <row r="1542" spans="21:27" ht="20.100000000000001" customHeight="1" x14ac:dyDescent="0.2">
      <c r="U1542" s="2"/>
      <c r="V1542" s="2"/>
      <c r="W1542" s="2"/>
      <c r="X1542" s="2"/>
      <c r="Y1542" s="2"/>
      <c r="Z1542" s="2"/>
      <c r="AA1542" s="2"/>
    </row>
    <row r="1543" spans="21:27" ht="20.100000000000001" customHeight="1" x14ac:dyDescent="0.2">
      <c r="U1543" s="2"/>
      <c r="V1543" s="2"/>
      <c r="W1543" s="2"/>
      <c r="X1543" s="2"/>
      <c r="Y1543" s="2"/>
      <c r="Z1543" s="2"/>
      <c r="AA1543" s="2"/>
    </row>
    <row r="1544" spans="21:27" ht="20.100000000000001" customHeight="1" x14ac:dyDescent="0.2">
      <c r="U1544" s="2"/>
      <c r="V1544" s="2"/>
      <c r="W1544" s="2"/>
      <c r="X1544" s="2"/>
      <c r="Y1544" s="2"/>
      <c r="Z1544" s="2"/>
      <c r="AA1544" s="2"/>
    </row>
    <row r="1545" spans="21:27" ht="20.100000000000001" customHeight="1" x14ac:dyDescent="0.2">
      <c r="U1545" s="2"/>
      <c r="V1545" s="2"/>
      <c r="W1545" s="2"/>
      <c r="X1545" s="2"/>
      <c r="Y1545" s="2"/>
      <c r="Z1545" s="2"/>
      <c r="AA1545" s="2"/>
    </row>
    <row r="1546" spans="21:27" ht="20.100000000000001" customHeight="1" x14ac:dyDescent="0.2">
      <c r="U1546" s="2"/>
      <c r="V1546" s="2"/>
      <c r="W1546" s="2"/>
      <c r="X1546" s="2"/>
      <c r="Y1546" s="2"/>
      <c r="Z1546" s="2"/>
      <c r="AA1546" s="2"/>
    </row>
    <row r="1547" spans="21:27" ht="20.100000000000001" customHeight="1" x14ac:dyDescent="0.2">
      <c r="U1547" s="2"/>
      <c r="V1547" s="2"/>
      <c r="W1547" s="2"/>
      <c r="X1547" s="2"/>
      <c r="Y1547" s="2"/>
      <c r="Z1547" s="2"/>
      <c r="AA1547" s="2"/>
    </row>
    <row r="1548" spans="21:27" ht="20.100000000000001" customHeight="1" x14ac:dyDescent="0.2">
      <c r="U1548" s="2"/>
      <c r="V1548" s="2"/>
      <c r="W1548" s="2"/>
      <c r="X1548" s="2"/>
      <c r="Y1548" s="2"/>
      <c r="Z1548" s="2"/>
      <c r="AA1548" s="2"/>
    </row>
    <row r="1549" spans="21:27" ht="20.100000000000001" customHeight="1" x14ac:dyDescent="0.2">
      <c r="U1549" s="2"/>
      <c r="V1549" s="2"/>
      <c r="W1549" s="2"/>
      <c r="X1549" s="2"/>
      <c r="Y1549" s="2"/>
      <c r="Z1549" s="2"/>
      <c r="AA1549" s="2"/>
    </row>
    <row r="1550" spans="21:27" ht="20.100000000000001" customHeight="1" x14ac:dyDescent="0.2">
      <c r="U1550" s="2"/>
      <c r="V1550" s="2"/>
      <c r="W1550" s="2"/>
      <c r="X1550" s="2"/>
      <c r="Y1550" s="2"/>
      <c r="Z1550" s="2"/>
      <c r="AA1550" s="2"/>
    </row>
    <row r="1551" spans="21:27" ht="20.100000000000001" customHeight="1" x14ac:dyDescent="0.2">
      <c r="U1551" s="2"/>
      <c r="V1551" s="2"/>
      <c r="W1551" s="2"/>
      <c r="X1551" s="2"/>
      <c r="Y1551" s="2"/>
      <c r="Z1551" s="2"/>
      <c r="AA1551" s="2"/>
    </row>
    <row r="1552" spans="21:27" ht="20.100000000000001" customHeight="1" x14ac:dyDescent="0.2">
      <c r="U1552" s="2"/>
      <c r="V1552" s="2"/>
      <c r="W1552" s="2"/>
      <c r="X1552" s="2"/>
      <c r="Y1552" s="2"/>
      <c r="Z1552" s="2"/>
      <c r="AA1552" s="2"/>
    </row>
    <row r="1553" spans="21:27" ht="20.100000000000001" customHeight="1" x14ac:dyDescent="0.2">
      <c r="U1553" s="2"/>
      <c r="V1553" s="2"/>
      <c r="W1553" s="2"/>
      <c r="X1553" s="2"/>
      <c r="Y1553" s="2"/>
      <c r="Z1553" s="2"/>
      <c r="AA1553" s="2"/>
    </row>
    <row r="1554" spans="21:27" ht="20.100000000000001" customHeight="1" x14ac:dyDescent="0.2">
      <c r="U1554" s="2"/>
      <c r="V1554" s="2"/>
      <c r="W1554" s="2"/>
      <c r="X1554" s="2"/>
      <c r="Y1554" s="2"/>
      <c r="Z1554" s="2"/>
      <c r="AA1554" s="2"/>
    </row>
    <row r="1555" spans="21:27" ht="20.100000000000001" customHeight="1" x14ac:dyDescent="0.2">
      <c r="U1555" s="2"/>
      <c r="V1555" s="2"/>
      <c r="W1555" s="2"/>
      <c r="X1555" s="2"/>
      <c r="Y1555" s="2"/>
      <c r="Z1555" s="2"/>
      <c r="AA1555" s="2"/>
    </row>
    <row r="1556" spans="21:27" ht="20.100000000000001" customHeight="1" x14ac:dyDescent="0.2">
      <c r="U1556" s="2"/>
      <c r="V1556" s="2"/>
      <c r="W1556" s="2"/>
      <c r="X1556" s="2"/>
      <c r="Y1556" s="2"/>
      <c r="Z1556" s="2"/>
      <c r="AA1556" s="2"/>
    </row>
    <row r="1557" spans="21:27" ht="20.100000000000001" customHeight="1" x14ac:dyDescent="0.2">
      <c r="U1557" s="2"/>
      <c r="V1557" s="2"/>
      <c r="W1557" s="2"/>
      <c r="X1557" s="2"/>
      <c r="Y1557" s="2"/>
      <c r="Z1557" s="2"/>
      <c r="AA1557" s="2"/>
    </row>
    <row r="1558" spans="21:27" ht="20.100000000000001" customHeight="1" x14ac:dyDescent="0.2">
      <c r="U1558" s="2"/>
      <c r="V1558" s="2"/>
      <c r="W1558" s="2"/>
      <c r="X1558" s="2"/>
      <c r="Y1558" s="2"/>
      <c r="Z1558" s="2"/>
      <c r="AA1558" s="2"/>
    </row>
    <row r="1559" spans="21:27" ht="20.100000000000001" customHeight="1" x14ac:dyDescent="0.2">
      <c r="U1559" s="2"/>
      <c r="V1559" s="2"/>
      <c r="W1559" s="2"/>
      <c r="X1559" s="2"/>
      <c r="Y1559" s="2"/>
      <c r="Z1559" s="2"/>
      <c r="AA1559" s="2"/>
    </row>
    <row r="1560" spans="21:27" ht="20.100000000000001" customHeight="1" x14ac:dyDescent="0.2">
      <c r="U1560" s="2"/>
      <c r="V1560" s="2"/>
      <c r="W1560" s="2"/>
      <c r="X1560" s="2"/>
      <c r="Y1560" s="2"/>
      <c r="Z1560" s="2"/>
      <c r="AA1560" s="2"/>
    </row>
    <row r="1561" spans="21:27" ht="20.100000000000001" customHeight="1" x14ac:dyDescent="0.2">
      <c r="U1561" s="2"/>
      <c r="V1561" s="2"/>
      <c r="W1561" s="2"/>
      <c r="X1561" s="2"/>
      <c r="Y1561" s="2"/>
      <c r="Z1561" s="2"/>
      <c r="AA1561" s="2"/>
    </row>
    <row r="1562" spans="21:27" ht="20.100000000000001" customHeight="1" x14ac:dyDescent="0.2">
      <c r="U1562" s="2"/>
      <c r="V1562" s="2"/>
      <c r="W1562" s="2"/>
      <c r="X1562" s="2"/>
      <c r="Y1562" s="2"/>
      <c r="Z1562" s="2"/>
      <c r="AA1562" s="2"/>
    </row>
    <row r="1563" spans="21:27" ht="20.100000000000001" customHeight="1" x14ac:dyDescent="0.2">
      <c r="U1563" s="2"/>
      <c r="V1563" s="2"/>
      <c r="W1563" s="2"/>
      <c r="X1563" s="2"/>
      <c r="Y1563" s="2"/>
      <c r="Z1563" s="2"/>
      <c r="AA1563" s="2"/>
    </row>
    <row r="1564" spans="21:27" ht="20.100000000000001" customHeight="1" x14ac:dyDescent="0.2">
      <c r="U1564" s="2"/>
      <c r="V1564" s="2"/>
      <c r="W1564" s="2"/>
      <c r="X1564" s="2"/>
      <c r="Y1564" s="2"/>
      <c r="Z1564" s="2"/>
      <c r="AA1564" s="2"/>
    </row>
    <row r="1565" spans="21:27" ht="20.100000000000001" customHeight="1" x14ac:dyDescent="0.2">
      <c r="U1565" s="2"/>
      <c r="V1565" s="2"/>
      <c r="W1565" s="2"/>
      <c r="X1565" s="2"/>
      <c r="Y1565" s="2"/>
      <c r="Z1565" s="2"/>
      <c r="AA1565" s="2"/>
    </row>
    <row r="1566" spans="21:27" ht="20.100000000000001" customHeight="1" x14ac:dyDescent="0.2">
      <c r="U1566" s="2"/>
      <c r="V1566" s="2"/>
      <c r="W1566" s="2"/>
      <c r="X1566" s="2"/>
      <c r="Y1566" s="2"/>
      <c r="Z1566" s="2"/>
      <c r="AA1566" s="2"/>
    </row>
    <row r="1567" spans="21:27" ht="20.100000000000001" customHeight="1" x14ac:dyDescent="0.2">
      <c r="U1567" s="2"/>
      <c r="V1567" s="2"/>
      <c r="W1567" s="2"/>
      <c r="X1567" s="2"/>
      <c r="Y1567" s="2"/>
      <c r="Z1567" s="2"/>
      <c r="AA1567" s="2"/>
    </row>
    <row r="1568" spans="21:27" ht="20.100000000000001" customHeight="1" x14ac:dyDescent="0.2">
      <c r="U1568" s="2"/>
      <c r="V1568" s="2"/>
      <c r="W1568" s="2"/>
      <c r="X1568" s="2"/>
      <c r="Y1568" s="2"/>
      <c r="Z1568" s="2"/>
      <c r="AA1568" s="2"/>
    </row>
    <row r="1569" spans="21:27" ht="20.100000000000001" customHeight="1" x14ac:dyDescent="0.2">
      <c r="U1569" s="2"/>
      <c r="V1569" s="2"/>
      <c r="W1569" s="2"/>
      <c r="X1569" s="2"/>
      <c r="Y1569" s="2"/>
      <c r="Z1569" s="2"/>
      <c r="AA1569" s="2"/>
    </row>
    <row r="1570" spans="21:27" ht="20.100000000000001" customHeight="1" x14ac:dyDescent="0.2">
      <c r="U1570" s="2"/>
      <c r="V1570" s="2"/>
      <c r="W1570" s="2"/>
      <c r="X1570" s="2"/>
      <c r="Y1570" s="2"/>
      <c r="Z1570" s="2"/>
      <c r="AA1570" s="2"/>
    </row>
    <row r="1571" spans="21:27" ht="20.100000000000001" customHeight="1" x14ac:dyDescent="0.2">
      <c r="U1571" s="2"/>
      <c r="V1571" s="2"/>
      <c r="W1571" s="2"/>
      <c r="X1571" s="2"/>
      <c r="Y1571" s="2"/>
      <c r="Z1571" s="2"/>
      <c r="AA1571" s="2"/>
    </row>
    <row r="1572" spans="21:27" ht="20.100000000000001" customHeight="1" x14ac:dyDescent="0.2">
      <c r="U1572" s="2"/>
      <c r="V1572" s="2"/>
      <c r="W1572" s="2"/>
      <c r="X1572" s="2"/>
      <c r="Y1572" s="2"/>
      <c r="Z1572" s="2"/>
      <c r="AA1572" s="2"/>
    </row>
    <row r="1573" spans="21:27" ht="20.100000000000001" customHeight="1" x14ac:dyDescent="0.2">
      <c r="U1573" s="2"/>
      <c r="V1573" s="2"/>
      <c r="W1573" s="2"/>
      <c r="X1573" s="2"/>
      <c r="Y1573" s="2"/>
      <c r="Z1573" s="2"/>
      <c r="AA1573" s="2"/>
    </row>
    <row r="1574" spans="21:27" ht="20.100000000000001" customHeight="1" x14ac:dyDescent="0.2">
      <c r="U1574" s="2"/>
      <c r="V1574" s="2"/>
      <c r="W1574" s="2"/>
      <c r="X1574" s="2"/>
      <c r="Y1574" s="2"/>
      <c r="Z1574" s="2"/>
      <c r="AA1574" s="2"/>
    </row>
    <row r="1575" spans="21:27" ht="20.100000000000001" customHeight="1" x14ac:dyDescent="0.2">
      <c r="U1575" s="2"/>
      <c r="V1575" s="2"/>
      <c r="W1575" s="2"/>
      <c r="X1575" s="2"/>
      <c r="Y1575" s="2"/>
      <c r="Z1575" s="2"/>
      <c r="AA1575" s="2"/>
    </row>
    <row r="1576" spans="21:27" ht="20.100000000000001" customHeight="1" x14ac:dyDescent="0.2">
      <c r="U1576" s="2"/>
      <c r="V1576" s="2"/>
      <c r="W1576" s="2"/>
      <c r="X1576" s="2"/>
      <c r="Y1576" s="2"/>
      <c r="Z1576" s="2"/>
      <c r="AA1576" s="2"/>
    </row>
    <row r="1577" spans="21:27" ht="20.100000000000001" customHeight="1" x14ac:dyDescent="0.2">
      <c r="U1577" s="2"/>
      <c r="V1577" s="2"/>
      <c r="W1577" s="2"/>
      <c r="X1577" s="2"/>
      <c r="Y1577" s="2"/>
      <c r="Z1577" s="2"/>
      <c r="AA1577" s="2"/>
    </row>
    <row r="1578" spans="21:27" ht="20.100000000000001" customHeight="1" x14ac:dyDescent="0.2">
      <c r="U1578" s="2"/>
      <c r="V1578" s="2"/>
      <c r="W1578" s="2"/>
      <c r="X1578" s="2"/>
      <c r="Y1578" s="2"/>
      <c r="Z1578" s="2"/>
      <c r="AA1578" s="2"/>
    </row>
    <row r="1579" spans="21:27" ht="20.100000000000001" customHeight="1" x14ac:dyDescent="0.2">
      <c r="U1579" s="2"/>
      <c r="V1579" s="2"/>
      <c r="W1579" s="2"/>
      <c r="X1579" s="2"/>
      <c r="Y1579" s="2"/>
      <c r="Z1579" s="2"/>
      <c r="AA1579" s="2"/>
    </row>
    <row r="1580" spans="21:27" ht="20.100000000000001" customHeight="1" x14ac:dyDescent="0.2">
      <c r="U1580" s="2"/>
      <c r="V1580" s="2"/>
      <c r="W1580" s="2"/>
      <c r="X1580" s="2"/>
      <c r="Y1580" s="2"/>
      <c r="Z1580" s="2"/>
      <c r="AA1580" s="2"/>
    </row>
    <row r="1581" spans="21:27" ht="20.100000000000001" customHeight="1" x14ac:dyDescent="0.2">
      <c r="U1581" s="2"/>
      <c r="V1581" s="2"/>
      <c r="W1581" s="2"/>
      <c r="X1581" s="2"/>
      <c r="Y1581" s="2"/>
      <c r="Z1581" s="2"/>
      <c r="AA1581" s="2"/>
    </row>
    <row r="1582" spans="21:27" ht="20.100000000000001" customHeight="1" x14ac:dyDescent="0.2">
      <c r="U1582" s="2"/>
      <c r="V1582" s="2"/>
      <c r="W1582" s="2"/>
      <c r="X1582" s="2"/>
      <c r="Y1582" s="2"/>
      <c r="Z1582" s="2"/>
      <c r="AA1582" s="2"/>
    </row>
    <row r="1583" spans="21:27" ht="20.100000000000001" customHeight="1" x14ac:dyDescent="0.2">
      <c r="U1583" s="2"/>
      <c r="V1583" s="2"/>
      <c r="W1583" s="2"/>
      <c r="X1583" s="2"/>
      <c r="Y1583" s="2"/>
      <c r="Z1583" s="2"/>
      <c r="AA1583" s="2"/>
    </row>
    <row r="1584" spans="21:27" ht="20.100000000000001" customHeight="1" x14ac:dyDescent="0.2">
      <c r="U1584" s="2"/>
      <c r="V1584" s="2"/>
      <c r="W1584" s="2"/>
      <c r="X1584" s="2"/>
      <c r="Y1584" s="2"/>
      <c r="Z1584" s="2"/>
      <c r="AA1584" s="2"/>
    </row>
    <row r="1585" spans="21:27" ht="20.100000000000001" customHeight="1" x14ac:dyDescent="0.2">
      <c r="U1585" s="2"/>
      <c r="V1585" s="2"/>
      <c r="W1585" s="2"/>
      <c r="X1585" s="2"/>
      <c r="Y1585" s="2"/>
      <c r="Z1585" s="2"/>
      <c r="AA1585" s="2"/>
    </row>
    <row r="1586" spans="21:27" ht="20.100000000000001" customHeight="1" x14ac:dyDescent="0.2">
      <c r="U1586" s="2"/>
      <c r="V1586" s="2"/>
      <c r="W1586" s="2"/>
      <c r="X1586" s="2"/>
      <c r="Y1586" s="2"/>
      <c r="Z1586" s="2"/>
      <c r="AA1586" s="2"/>
    </row>
    <row r="1587" spans="21:27" ht="20.100000000000001" customHeight="1" x14ac:dyDescent="0.2">
      <c r="U1587" s="2"/>
      <c r="V1587" s="2"/>
      <c r="W1587" s="2"/>
      <c r="X1587" s="2"/>
      <c r="Y1587" s="2"/>
      <c r="Z1587" s="2"/>
      <c r="AA1587" s="2"/>
    </row>
    <row r="1588" spans="21:27" ht="20.100000000000001" customHeight="1" x14ac:dyDescent="0.2">
      <c r="U1588" s="2"/>
      <c r="V1588" s="2"/>
      <c r="W1588" s="2"/>
      <c r="X1588" s="2"/>
      <c r="Y1588" s="2"/>
      <c r="Z1588" s="2"/>
      <c r="AA1588" s="2"/>
    </row>
    <row r="1589" spans="21:27" ht="20.100000000000001" customHeight="1" x14ac:dyDescent="0.2">
      <c r="U1589" s="2"/>
      <c r="V1589" s="2"/>
      <c r="W1589" s="2"/>
      <c r="X1589" s="2"/>
      <c r="Y1589" s="2"/>
      <c r="Z1589" s="2"/>
      <c r="AA1589" s="2"/>
    </row>
    <row r="1590" spans="21:27" ht="20.100000000000001" customHeight="1" x14ac:dyDescent="0.2">
      <c r="U1590" s="2"/>
      <c r="V1590" s="2"/>
      <c r="W1590" s="2"/>
      <c r="X1590" s="2"/>
      <c r="Y1590" s="2"/>
      <c r="Z1590" s="2"/>
      <c r="AA1590" s="2"/>
    </row>
    <row r="1591" spans="21:27" ht="20.100000000000001" customHeight="1" x14ac:dyDescent="0.2">
      <c r="U1591" s="2"/>
      <c r="V1591" s="2"/>
      <c r="W1591" s="2"/>
      <c r="X1591" s="2"/>
      <c r="Y1591" s="2"/>
      <c r="Z1591" s="2"/>
      <c r="AA1591" s="2"/>
    </row>
    <row r="1592" spans="21:27" ht="20.100000000000001" customHeight="1" x14ac:dyDescent="0.2">
      <c r="U1592" s="2"/>
      <c r="V1592" s="2"/>
      <c r="W1592" s="2"/>
      <c r="X1592" s="2"/>
      <c r="Y1592" s="2"/>
      <c r="Z1592" s="2"/>
      <c r="AA1592" s="2"/>
    </row>
    <row r="1593" spans="21:27" ht="20.100000000000001" customHeight="1" x14ac:dyDescent="0.2">
      <c r="U1593" s="2"/>
      <c r="V1593" s="2"/>
      <c r="W1593" s="2"/>
      <c r="X1593" s="2"/>
      <c r="Y1593" s="2"/>
      <c r="Z1593" s="2"/>
      <c r="AA1593" s="2"/>
    </row>
    <row r="1594" spans="21:27" ht="20.100000000000001" customHeight="1" x14ac:dyDescent="0.2">
      <c r="U1594" s="2"/>
      <c r="V1594" s="2"/>
      <c r="W1594" s="2"/>
      <c r="X1594" s="2"/>
      <c r="Y1594" s="2"/>
      <c r="Z1594" s="2"/>
      <c r="AA1594" s="2"/>
    </row>
    <row r="1595" spans="21:27" ht="20.100000000000001" customHeight="1" x14ac:dyDescent="0.2">
      <c r="U1595" s="2"/>
      <c r="V1595" s="2"/>
      <c r="W1595" s="2"/>
      <c r="X1595" s="2"/>
      <c r="Y1595" s="2"/>
      <c r="Z1595" s="2"/>
      <c r="AA1595" s="2"/>
    </row>
    <row r="1596" spans="21:27" ht="20.100000000000001" customHeight="1" x14ac:dyDescent="0.2">
      <c r="U1596" s="2"/>
      <c r="V1596" s="2"/>
      <c r="W1596" s="2"/>
      <c r="X1596" s="2"/>
      <c r="Y1596" s="2"/>
      <c r="Z1596" s="2"/>
      <c r="AA1596" s="2"/>
    </row>
    <row r="1597" spans="21:27" ht="20.100000000000001" customHeight="1" x14ac:dyDescent="0.2">
      <c r="U1597" s="2"/>
      <c r="V1597" s="2"/>
      <c r="W1597" s="2"/>
      <c r="X1597" s="2"/>
      <c r="Y1597" s="2"/>
      <c r="Z1597" s="2"/>
      <c r="AA1597" s="2"/>
    </row>
    <row r="1598" spans="21:27" ht="20.100000000000001" customHeight="1" x14ac:dyDescent="0.2">
      <c r="U1598" s="2"/>
      <c r="V1598" s="2"/>
      <c r="W1598" s="2"/>
      <c r="X1598" s="2"/>
      <c r="Y1598" s="2"/>
      <c r="Z1598" s="2"/>
      <c r="AA1598" s="2"/>
    </row>
    <row r="1599" spans="21:27" ht="20.100000000000001" customHeight="1" x14ac:dyDescent="0.2">
      <c r="U1599" s="2"/>
      <c r="V1599" s="2"/>
      <c r="W1599" s="2"/>
      <c r="X1599" s="2"/>
      <c r="Y1599" s="2"/>
      <c r="Z1599" s="2"/>
      <c r="AA1599" s="2"/>
    </row>
    <row r="1600" spans="21:27" ht="20.100000000000001" customHeight="1" x14ac:dyDescent="0.2">
      <c r="U1600" s="2"/>
      <c r="V1600" s="2"/>
      <c r="W1600" s="2"/>
      <c r="X1600" s="2"/>
      <c r="Y1600" s="2"/>
      <c r="Z1600" s="2"/>
      <c r="AA1600" s="2"/>
    </row>
    <row r="1601" spans="21:27" ht="20.100000000000001" customHeight="1" x14ac:dyDescent="0.2">
      <c r="U1601" s="2"/>
      <c r="V1601" s="2"/>
      <c r="W1601" s="2"/>
      <c r="X1601" s="2"/>
      <c r="Y1601" s="2"/>
      <c r="Z1601" s="2"/>
      <c r="AA1601" s="2"/>
    </row>
    <row r="1602" spans="21:27" ht="20.100000000000001" customHeight="1" x14ac:dyDescent="0.2">
      <c r="U1602" s="2"/>
      <c r="V1602" s="2"/>
      <c r="W1602" s="2"/>
      <c r="X1602" s="2"/>
      <c r="Y1602" s="2"/>
      <c r="Z1602" s="2"/>
      <c r="AA1602" s="2"/>
    </row>
    <row r="1603" spans="21:27" ht="20.100000000000001" customHeight="1" x14ac:dyDescent="0.2">
      <c r="U1603" s="2"/>
      <c r="V1603" s="2"/>
      <c r="W1603" s="2"/>
      <c r="X1603" s="2"/>
      <c r="Y1603" s="2"/>
      <c r="Z1603" s="2"/>
      <c r="AA1603" s="2"/>
    </row>
    <row r="1604" spans="21:27" ht="20.100000000000001" customHeight="1" x14ac:dyDescent="0.2">
      <c r="U1604" s="2"/>
      <c r="V1604" s="2"/>
      <c r="W1604" s="2"/>
      <c r="X1604" s="2"/>
      <c r="Y1604" s="2"/>
      <c r="Z1604" s="2"/>
      <c r="AA1604" s="2"/>
    </row>
    <row r="1605" spans="21:27" ht="20.100000000000001" customHeight="1" x14ac:dyDescent="0.2">
      <c r="U1605" s="2"/>
      <c r="V1605" s="2"/>
      <c r="W1605" s="2"/>
      <c r="X1605" s="2"/>
      <c r="Y1605" s="2"/>
      <c r="Z1605" s="2"/>
      <c r="AA1605" s="2"/>
    </row>
    <row r="1606" spans="21:27" ht="20.100000000000001" customHeight="1" x14ac:dyDescent="0.2">
      <c r="U1606" s="2"/>
      <c r="V1606" s="2"/>
      <c r="W1606" s="2"/>
      <c r="X1606" s="2"/>
      <c r="Y1606" s="2"/>
      <c r="Z1606" s="2"/>
      <c r="AA1606" s="2"/>
    </row>
    <row r="1607" spans="21:27" ht="20.100000000000001" customHeight="1" x14ac:dyDescent="0.2">
      <c r="U1607" s="2"/>
      <c r="V1607" s="2"/>
      <c r="W1607" s="2"/>
      <c r="X1607" s="2"/>
      <c r="Y1607" s="2"/>
      <c r="Z1607" s="2"/>
      <c r="AA1607" s="2"/>
    </row>
    <row r="1608" spans="21:27" ht="20.100000000000001" customHeight="1" x14ac:dyDescent="0.2">
      <c r="U1608" s="2"/>
      <c r="V1608" s="2"/>
      <c r="W1608" s="2"/>
      <c r="X1608" s="2"/>
      <c r="Y1608" s="2"/>
      <c r="Z1608" s="2"/>
      <c r="AA1608" s="2"/>
    </row>
    <row r="1609" spans="21:27" ht="20.100000000000001" customHeight="1" x14ac:dyDescent="0.2">
      <c r="U1609" s="2"/>
      <c r="V1609" s="2"/>
      <c r="W1609" s="2"/>
      <c r="X1609" s="2"/>
      <c r="Y1609" s="2"/>
      <c r="Z1609" s="2"/>
      <c r="AA1609" s="2"/>
    </row>
    <row r="1610" spans="21:27" ht="20.100000000000001" customHeight="1" x14ac:dyDescent="0.2">
      <c r="U1610" s="2"/>
      <c r="V1610" s="2"/>
      <c r="W1610" s="2"/>
      <c r="X1610" s="2"/>
      <c r="Y1610" s="2"/>
      <c r="Z1610" s="2"/>
      <c r="AA1610" s="2"/>
    </row>
    <row r="1611" spans="21:27" ht="20.100000000000001" customHeight="1" x14ac:dyDescent="0.2">
      <c r="U1611" s="2"/>
      <c r="V1611" s="2"/>
      <c r="W1611" s="2"/>
      <c r="X1611" s="2"/>
      <c r="Y1611" s="2"/>
      <c r="Z1611" s="2"/>
      <c r="AA1611" s="2"/>
    </row>
    <row r="1612" spans="21:27" ht="20.100000000000001" customHeight="1" x14ac:dyDescent="0.2">
      <c r="U1612" s="2"/>
      <c r="V1612" s="2"/>
      <c r="W1612" s="2"/>
      <c r="X1612" s="2"/>
      <c r="Y1612" s="2"/>
      <c r="Z1612" s="2"/>
      <c r="AA1612" s="2"/>
    </row>
    <row r="1613" spans="21:27" ht="20.100000000000001" customHeight="1" x14ac:dyDescent="0.2">
      <c r="U1613" s="2"/>
      <c r="V1613" s="2"/>
      <c r="W1613" s="2"/>
      <c r="X1613" s="2"/>
      <c r="Y1613" s="2"/>
      <c r="Z1613" s="2"/>
      <c r="AA1613" s="2"/>
    </row>
    <row r="1614" spans="21:27" ht="20.100000000000001" customHeight="1" x14ac:dyDescent="0.2">
      <c r="U1614" s="2"/>
      <c r="V1614" s="2"/>
      <c r="W1614" s="2"/>
      <c r="X1614" s="2"/>
      <c r="Y1614" s="2"/>
      <c r="Z1614" s="2"/>
      <c r="AA1614" s="2"/>
    </row>
    <row r="1615" spans="21:27" ht="20.100000000000001" customHeight="1" x14ac:dyDescent="0.2">
      <c r="U1615" s="2"/>
      <c r="V1615" s="2"/>
      <c r="W1615" s="2"/>
      <c r="X1615" s="2"/>
      <c r="Y1615" s="2"/>
      <c r="Z1615" s="2"/>
      <c r="AA1615" s="2"/>
    </row>
    <row r="1616" spans="21:27" ht="20.100000000000001" customHeight="1" x14ac:dyDescent="0.2">
      <c r="U1616" s="2"/>
      <c r="V1616" s="2"/>
      <c r="W1616" s="2"/>
      <c r="X1616" s="2"/>
      <c r="Y1616" s="2"/>
      <c r="Z1616" s="2"/>
      <c r="AA1616" s="2"/>
    </row>
    <row r="1617" spans="21:27" ht="20.100000000000001" customHeight="1" x14ac:dyDescent="0.2">
      <c r="U1617" s="2"/>
      <c r="V1617" s="2"/>
      <c r="W1617" s="2"/>
      <c r="X1617" s="2"/>
      <c r="Y1617" s="2"/>
      <c r="Z1617" s="2"/>
      <c r="AA1617" s="2"/>
    </row>
    <row r="1618" spans="21:27" ht="20.100000000000001" customHeight="1" x14ac:dyDescent="0.2">
      <c r="U1618" s="2"/>
      <c r="V1618" s="2"/>
      <c r="W1618" s="2"/>
      <c r="X1618" s="2"/>
      <c r="Y1618" s="2"/>
      <c r="Z1618" s="2"/>
      <c r="AA1618" s="2"/>
    </row>
    <row r="1619" spans="21:27" ht="20.100000000000001" customHeight="1" x14ac:dyDescent="0.2">
      <c r="U1619" s="2"/>
      <c r="V1619" s="2"/>
      <c r="W1619" s="2"/>
      <c r="X1619" s="2"/>
      <c r="Y1619" s="2"/>
      <c r="Z1619" s="2"/>
      <c r="AA1619" s="2"/>
    </row>
    <row r="1620" spans="21:27" ht="20.100000000000001" customHeight="1" x14ac:dyDescent="0.2">
      <c r="U1620" s="2"/>
      <c r="V1620" s="2"/>
      <c r="W1620" s="2"/>
      <c r="X1620" s="2"/>
      <c r="Y1620" s="2"/>
      <c r="Z1620" s="2"/>
      <c r="AA1620" s="2"/>
    </row>
    <row r="1621" spans="21:27" ht="20.100000000000001" customHeight="1" x14ac:dyDescent="0.2">
      <c r="U1621" s="2"/>
      <c r="V1621" s="2"/>
      <c r="W1621" s="2"/>
      <c r="X1621" s="2"/>
      <c r="Y1621" s="2"/>
      <c r="Z1621" s="2"/>
      <c r="AA1621" s="2"/>
    </row>
    <row r="1622" spans="21:27" ht="20.100000000000001" customHeight="1" x14ac:dyDescent="0.2">
      <c r="U1622" s="2"/>
      <c r="V1622" s="2"/>
      <c r="W1622" s="2"/>
      <c r="X1622" s="2"/>
      <c r="Y1622" s="2"/>
      <c r="Z1622" s="2"/>
      <c r="AA1622" s="2"/>
    </row>
    <row r="1623" spans="21:27" ht="20.100000000000001" customHeight="1" x14ac:dyDescent="0.2">
      <c r="U1623" s="2"/>
      <c r="V1623" s="2"/>
      <c r="W1623" s="2"/>
      <c r="X1623" s="2"/>
      <c r="Y1623" s="2"/>
      <c r="Z1623" s="2"/>
      <c r="AA1623" s="2"/>
    </row>
    <row r="1624" spans="21:27" ht="20.100000000000001" customHeight="1" x14ac:dyDescent="0.2">
      <c r="U1624" s="2"/>
      <c r="V1624" s="2"/>
      <c r="W1624" s="2"/>
      <c r="X1624" s="2"/>
      <c r="Y1624" s="2"/>
      <c r="Z1624" s="2"/>
      <c r="AA1624" s="2"/>
    </row>
    <row r="1625" spans="21:27" ht="20.100000000000001" customHeight="1" x14ac:dyDescent="0.2">
      <c r="U1625" s="2"/>
      <c r="V1625" s="2"/>
      <c r="W1625" s="2"/>
      <c r="X1625" s="2"/>
      <c r="Y1625" s="2"/>
      <c r="Z1625" s="2"/>
      <c r="AA1625" s="2"/>
    </row>
    <row r="1626" spans="21:27" ht="20.100000000000001" customHeight="1" x14ac:dyDescent="0.2">
      <c r="U1626" s="2"/>
      <c r="V1626" s="2"/>
      <c r="W1626" s="2"/>
      <c r="X1626" s="2"/>
      <c r="Y1626" s="2"/>
      <c r="Z1626" s="2"/>
      <c r="AA1626" s="2"/>
    </row>
    <row r="1627" spans="21:27" ht="20.100000000000001" customHeight="1" x14ac:dyDescent="0.2">
      <c r="U1627" s="2"/>
      <c r="V1627" s="2"/>
      <c r="W1627" s="2"/>
      <c r="X1627" s="2"/>
      <c r="Y1627" s="2"/>
      <c r="Z1627" s="2"/>
      <c r="AA1627" s="2"/>
    </row>
    <row r="1628" spans="21:27" ht="20.100000000000001" customHeight="1" x14ac:dyDescent="0.2">
      <c r="U1628" s="2"/>
      <c r="V1628" s="2"/>
      <c r="W1628" s="2"/>
      <c r="X1628" s="2"/>
      <c r="Y1628" s="2"/>
      <c r="Z1628" s="2"/>
      <c r="AA1628" s="2"/>
    </row>
    <row r="1629" spans="21:27" ht="20.100000000000001" customHeight="1" x14ac:dyDescent="0.2">
      <c r="U1629" s="2"/>
      <c r="V1629" s="2"/>
      <c r="W1629" s="2"/>
      <c r="X1629" s="2"/>
      <c r="Y1629" s="2"/>
      <c r="Z1629" s="2"/>
      <c r="AA1629" s="2"/>
    </row>
    <row r="1630" spans="21:27" ht="20.100000000000001" customHeight="1" x14ac:dyDescent="0.2">
      <c r="U1630" s="2"/>
      <c r="V1630" s="2"/>
      <c r="W1630" s="2"/>
      <c r="X1630" s="2"/>
      <c r="Y1630" s="2"/>
      <c r="Z1630" s="2"/>
      <c r="AA1630" s="2"/>
    </row>
    <row r="1631" spans="21:27" ht="20.100000000000001" customHeight="1" x14ac:dyDescent="0.2">
      <c r="U1631" s="2"/>
      <c r="V1631" s="2"/>
      <c r="W1631" s="2"/>
      <c r="X1631" s="2"/>
      <c r="Y1631" s="2"/>
      <c r="Z1631" s="2"/>
      <c r="AA1631" s="2"/>
    </row>
    <row r="1632" spans="21:27" ht="20.100000000000001" customHeight="1" x14ac:dyDescent="0.2">
      <c r="U1632" s="2"/>
      <c r="V1632" s="2"/>
      <c r="W1632" s="2"/>
      <c r="X1632" s="2"/>
      <c r="Y1632" s="2"/>
      <c r="Z1632" s="2"/>
      <c r="AA1632" s="2"/>
    </row>
    <row r="1633" spans="21:27" ht="20.100000000000001" customHeight="1" x14ac:dyDescent="0.2">
      <c r="U1633" s="2"/>
      <c r="V1633" s="2"/>
      <c r="W1633" s="2"/>
      <c r="X1633" s="2"/>
      <c r="Y1633" s="2"/>
      <c r="Z1633" s="2"/>
      <c r="AA1633" s="2"/>
    </row>
    <row r="1634" spans="21:27" ht="20.100000000000001" customHeight="1" x14ac:dyDescent="0.2">
      <c r="U1634" s="2"/>
      <c r="V1634" s="2"/>
      <c r="W1634" s="2"/>
      <c r="X1634" s="2"/>
      <c r="Y1634" s="2"/>
      <c r="Z1634" s="2"/>
      <c r="AA1634" s="2"/>
    </row>
    <row r="1635" spans="21:27" ht="20.100000000000001" customHeight="1" x14ac:dyDescent="0.2">
      <c r="U1635" s="2"/>
      <c r="V1635" s="2"/>
      <c r="W1635" s="2"/>
      <c r="X1635" s="2"/>
      <c r="Y1635" s="2"/>
      <c r="Z1635" s="2"/>
      <c r="AA1635" s="2"/>
    </row>
    <row r="1636" spans="21:27" ht="20.100000000000001" customHeight="1" x14ac:dyDescent="0.2">
      <c r="U1636" s="2"/>
      <c r="V1636" s="2"/>
      <c r="W1636" s="2"/>
      <c r="X1636" s="2"/>
      <c r="Y1636" s="2"/>
      <c r="Z1636" s="2"/>
      <c r="AA1636" s="2"/>
    </row>
    <row r="1637" spans="21:27" ht="20.100000000000001" customHeight="1" x14ac:dyDescent="0.2">
      <c r="U1637" s="2"/>
      <c r="V1637" s="2"/>
      <c r="W1637" s="2"/>
      <c r="X1637" s="2"/>
      <c r="Y1637" s="2"/>
      <c r="Z1637" s="2"/>
      <c r="AA1637" s="2"/>
    </row>
    <row r="1638" spans="21:27" ht="20.100000000000001" customHeight="1" x14ac:dyDescent="0.2">
      <c r="U1638" s="2"/>
      <c r="V1638" s="2"/>
      <c r="W1638" s="2"/>
      <c r="X1638" s="2"/>
      <c r="Y1638" s="2"/>
      <c r="Z1638" s="2"/>
      <c r="AA1638" s="2"/>
    </row>
    <row r="1639" spans="21:27" ht="20.100000000000001" customHeight="1" x14ac:dyDescent="0.2">
      <c r="U1639" s="2"/>
      <c r="V1639" s="2"/>
      <c r="W1639" s="2"/>
      <c r="X1639" s="2"/>
      <c r="Y1639" s="2"/>
      <c r="Z1639" s="2"/>
      <c r="AA1639" s="2"/>
    </row>
    <row r="1640" spans="21:27" ht="20.100000000000001" customHeight="1" x14ac:dyDescent="0.2">
      <c r="U1640" s="2"/>
      <c r="V1640" s="2"/>
      <c r="W1640" s="2"/>
      <c r="X1640" s="2"/>
      <c r="Y1640" s="2"/>
      <c r="Z1640" s="2"/>
      <c r="AA1640" s="2"/>
    </row>
    <row r="1641" spans="21:27" ht="20.100000000000001" customHeight="1" x14ac:dyDescent="0.2">
      <c r="U1641" s="2"/>
      <c r="V1641" s="2"/>
      <c r="W1641" s="2"/>
      <c r="X1641" s="2"/>
      <c r="Y1641" s="2"/>
      <c r="Z1641" s="2"/>
      <c r="AA1641" s="2"/>
    </row>
    <row r="1642" spans="21:27" ht="20.100000000000001" customHeight="1" x14ac:dyDescent="0.2">
      <c r="U1642" s="2"/>
      <c r="V1642" s="2"/>
      <c r="W1642" s="2"/>
      <c r="X1642" s="2"/>
      <c r="Y1642" s="2"/>
      <c r="Z1642" s="2"/>
      <c r="AA1642" s="2"/>
    </row>
    <row r="1643" spans="21:27" ht="20.100000000000001" customHeight="1" x14ac:dyDescent="0.2">
      <c r="U1643" s="2"/>
      <c r="V1643" s="2"/>
      <c r="W1643" s="2"/>
      <c r="X1643" s="2"/>
      <c r="Y1643" s="2"/>
      <c r="Z1643" s="2"/>
      <c r="AA1643" s="2"/>
    </row>
    <row r="1644" spans="21:27" ht="20.100000000000001" customHeight="1" x14ac:dyDescent="0.2">
      <c r="U1644" s="2"/>
      <c r="V1644" s="2"/>
      <c r="W1644" s="2"/>
      <c r="X1644" s="2"/>
      <c r="Y1644" s="2"/>
      <c r="Z1644" s="2"/>
      <c r="AA1644" s="2"/>
    </row>
    <row r="1645" spans="21:27" ht="20.100000000000001" customHeight="1" x14ac:dyDescent="0.2">
      <c r="U1645" s="2"/>
      <c r="V1645" s="2"/>
      <c r="W1645" s="2"/>
      <c r="X1645" s="2"/>
      <c r="Y1645" s="2"/>
      <c r="Z1645" s="2"/>
      <c r="AA1645" s="2"/>
    </row>
    <row r="1646" spans="21:27" ht="20.100000000000001" customHeight="1" x14ac:dyDescent="0.2">
      <c r="U1646" s="2"/>
      <c r="V1646" s="2"/>
      <c r="W1646" s="2"/>
      <c r="X1646" s="2"/>
      <c r="Y1646" s="2"/>
      <c r="Z1646" s="2"/>
      <c r="AA1646" s="2"/>
    </row>
    <row r="1647" spans="21:27" ht="20.100000000000001" customHeight="1" x14ac:dyDescent="0.2">
      <c r="U1647" s="2"/>
      <c r="V1647" s="2"/>
      <c r="W1647" s="2"/>
      <c r="X1647" s="2"/>
      <c r="Y1647" s="2"/>
      <c r="Z1647" s="2"/>
      <c r="AA1647" s="2"/>
    </row>
    <row r="1648" spans="21:27" ht="20.100000000000001" customHeight="1" x14ac:dyDescent="0.2">
      <c r="U1648" s="2"/>
      <c r="V1648" s="2"/>
      <c r="W1648" s="2"/>
      <c r="X1648" s="2"/>
      <c r="Y1648" s="2"/>
      <c r="Z1648" s="2"/>
      <c r="AA1648" s="2"/>
    </row>
    <row r="1649" spans="21:27" ht="20.100000000000001" customHeight="1" x14ac:dyDescent="0.2">
      <c r="U1649" s="2"/>
      <c r="V1649" s="2"/>
      <c r="W1649" s="2"/>
      <c r="X1649" s="2"/>
      <c r="Y1649" s="2"/>
      <c r="Z1649" s="2"/>
      <c r="AA1649" s="2"/>
    </row>
    <row r="1650" spans="21:27" ht="20.100000000000001" customHeight="1" x14ac:dyDescent="0.2">
      <c r="U1650" s="2"/>
      <c r="V1650" s="2"/>
      <c r="W1650" s="2"/>
      <c r="X1650" s="2"/>
      <c r="Y1650" s="2"/>
      <c r="Z1650" s="2"/>
      <c r="AA1650" s="2"/>
    </row>
    <row r="1651" spans="21:27" ht="20.100000000000001" customHeight="1" x14ac:dyDescent="0.2">
      <c r="U1651" s="2"/>
      <c r="V1651" s="2"/>
      <c r="W1651" s="2"/>
      <c r="X1651" s="2"/>
      <c r="Y1651" s="2"/>
      <c r="Z1651" s="2"/>
      <c r="AA1651" s="2"/>
    </row>
    <row r="1652" spans="21:27" ht="20.100000000000001" customHeight="1" x14ac:dyDescent="0.2">
      <c r="U1652" s="2"/>
      <c r="V1652" s="2"/>
      <c r="W1652" s="2"/>
      <c r="X1652" s="2"/>
      <c r="Y1652" s="2"/>
      <c r="Z1652" s="2"/>
      <c r="AA1652" s="2"/>
    </row>
    <row r="1653" spans="21:27" ht="20.100000000000001" customHeight="1" x14ac:dyDescent="0.2">
      <c r="U1653" s="2"/>
      <c r="V1653" s="2"/>
      <c r="W1653" s="2"/>
      <c r="X1653" s="2"/>
      <c r="Y1653" s="2"/>
      <c r="Z1653" s="2"/>
      <c r="AA1653" s="2"/>
    </row>
    <row r="1654" spans="21:27" ht="20.100000000000001" customHeight="1" x14ac:dyDescent="0.2">
      <c r="U1654" s="2"/>
      <c r="V1654" s="2"/>
      <c r="W1654" s="2"/>
      <c r="X1654" s="2"/>
      <c r="Y1654" s="2"/>
      <c r="Z1654" s="2"/>
      <c r="AA1654" s="2"/>
    </row>
    <row r="1655" spans="21:27" ht="20.100000000000001" customHeight="1" x14ac:dyDescent="0.2">
      <c r="U1655" s="2"/>
      <c r="V1655" s="2"/>
      <c r="W1655" s="2"/>
      <c r="X1655" s="2"/>
      <c r="Y1655" s="2"/>
      <c r="Z1655" s="2"/>
      <c r="AA1655" s="2"/>
    </row>
    <row r="1656" spans="21:27" ht="20.100000000000001" customHeight="1" x14ac:dyDescent="0.2">
      <c r="U1656" s="2"/>
      <c r="V1656" s="2"/>
      <c r="W1656" s="2"/>
      <c r="X1656" s="2"/>
      <c r="Y1656" s="2"/>
      <c r="Z1656" s="2"/>
      <c r="AA1656" s="2"/>
    </row>
    <row r="1657" spans="21:27" ht="20.100000000000001" customHeight="1" x14ac:dyDescent="0.2">
      <c r="U1657" s="2"/>
      <c r="V1657" s="2"/>
      <c r="W1657" s="2"/>
      <c r="X1657" s="2"/>
      <c r="Y1657" s="2"/>
      <c r="Z1657" s="2"/>
      <c r="AA1657" s="2"/>
    </row>
    <row r="1658" spans="21:27" ht="20.100000000000001" customHeight="1" x14ac:dyDescent="0.2">
      <c r="U1658" s="2"/>
      <c r="V1658" s="2"/>
      <c r="W1658" s="2"/>
      <c r="X1658" s="2"/>
      <c r="Y1658" s="2"/>
      <c r="Z1658" s="2"/>
      <c r="AA1658" s="2"/>
    </row>
    <row r="1659" spans="21:27" ht="20.100000000000001" customHeight="1" x14ac:dyDescent="0.2">
      <c r="U1659" s="2"/>
      <c r="V1659" s="2"/>
      <c r="W1659" s="2"/>
      <c r="X1659" s="2"/>
      <c r="Y1659" s="2"/>
      <c r="Z1659" s="2"/>
      <c r="AA1659" s="2"/>
    </row>
    <row r="1660" spans="21:27" ht="20.100000000000001" customHeight="1" x14ac:dyDescent="0.2">
      <c r="U1660" s="2"/>
      <c r="V1660" s="2"/>
      <c r="W1660" s="2"/>
      <c r="X1660" s="2"/>
      <c r="Y1660" s="2"/>
      <c r="Z1660" s="2"/>
      <c r="AA1660" s="2"/>
    </row>
    <row r="1661" spans="21:27" ht="20.100000000000001" customHeight="1" x14ac:dyDescent="0.2">
      <c r="U1661" s="2"/>
      <c r="V1661" s="2"/>
      <c r="W1661" s="2"/>
      <c r="X1661" s="2"/>
      <c r="Y1661" s="2"/>
      <c r="Z1661" s="2"/>
      <c r="AA1661" s="2"/>
    </row>
    <row r="1662" spans="21:27" ht="20.100000000000001" customHeight="1" x14ac:dyDescent="0.2">
      <c r="U1662" s="2"/>
      <c r="V1662" s="2"/>
      <c r="W1662" s="2"/>
      <c r="X1662" s="2"/>
      <c r="Y1662" s="2"/>
      <c r="Z1662" s="2"/>
      <c r="AA1662" s="2"/>
    </row>
    <row r="1663" spans="21:27" ht="20.100000000000001" customHeight="1" x14ac:dyDescent="0.2">
      <c r="U1663" s="2"/>
      <c r="V1663" s="2"/>
      <c r="W1663" s="2"/>
      <c r="X1663" s="2"/>
      <c r="Y1663" s="2"/>
      <c r="Z1663" s="2"/>
      <c r="AA1663" s="2"/>
    </row>
    <row r="1664" spans="21:27" ht="20.100000000000001" customHeight="1" x14ac:dyDescent="0.2">
      <c r="U1664" s="2"/>
      <c r="V1664" s="2"/>
      <c r="W1664" s="2"/>
      <c r="X1664" s="2"/>
      <c r="Y1664" s="2"/>
      <c r="Z1664" s="2"/>
      <c r="AA1664" s="2"/>
    </row>
    <row r="1665" spans="21:27" ht="20.100000000000001" customHeight="1" x14ac:dyDescent="0.2">
      <c r="U1665" s="2"/>
      <c r="V1665" s="2"/>
      <c r="W1665" s="2"/>
      <c r="X1665" s="2"/>
      <c r="Y1665" s="2"/>
      <c r="Z1665" s="2"/>
      <c r="AA1665" s="2"/>
    </row>
    <row r="1666" spans="21:27" ht="20.100000000000001" customHeight="1" x14ac:dyDescent="0.2">
      <c r="U1666" s="2"/>
      <c r="V1666" s="2"/>
      <c r="W1666" s="2"/>
      <c r="X1666" s="2"/>
      <c r="Y1666" s="2"/>
      <c r="Z1666" s="2"/>
      <c r="AA1666" s="2"/>
    </row>
    <row r="1667" spans="21:27" ht="20.100000000000001" customHeight="1" x14ac:dyDescent="0.2">
      <c r="U1667" s="2"/>
      <c r="V1667" s="2"/>
      <c r="W1667" s="2"/>
      <c r="X1667" s="2"/>
      <c r="Y1667" s="2"/>
      <c r="Z1667" s="2"/>
      <c r="AA1667" s="2"/>
    </row>
    <row r="1668" spans="21:27" ht="20.100000000000001" customHeight="1" x14ac:dyDescent="0.2">
      <c r="U1668" s="2"/>
      <c r="V1668" s="2"/>
      <c r="W1668" s="2"/>
      <c r="X1668" s="2"/>
      <c r="Y1668" s="2"/>
      <c r="Z1668" s="2"/>
      <c r="AA1668" s="2"/>
    </row>
    <row r="1669" spans="21:27" ht="20.100000000000001" customHeight="1" x14ac:dyDescent="0.2">
      <c r="U1669" s="2"/>
      <c r="V1669" s="2"/>
      <c r="W1669" s="2"/>
      <c r="X1669" s="2"/>
      <c r="Y1669" s="2"/>
      <c r="Z1669" s="2"/>
      <c r="AA1669" s="2"/>
    </row>
    <row r="1670" spans="21:27" ht="20.100000000000001" customHeight="1" x14ac:dyDescent="0.2">
      <c r="U1670" s="2"/>
      <c r="V1670" s="2"/>
      <c r="W1670" s="2"/>
      <c r="X1670" s="2"/>
      <c r="Y1670" s="2"/>
      <c r="Z1670" s="2"/>
      <c r="AA1670" s="2"/>
    </row>
    <row r="1671" spans="21:27" ht="20.100000000000001" customHeight="1" x14ac:dyDescent="0.2">
      <c r="U1671" s="2"/>
      <c r="V1671" s="2"/>
      <c r="W1671" s="2"/>
      <c r="X1671" s="2"/>
      <c r="Y1671" s="2"/>
      <c r="Z1671" s="2"/>
      <c r="AA1671" s="2"/>
    </row>
    <row r="1672" spans="21:27" ht="20.100000000000001" customHeight="1" x14ac:dyDescent="0.2">
      <c r="U1672" s="2"/>
      <c r="V1672" s="2"/>
      <c r="W1672" s="2"/>
      <c r="X1672" s="2"/>
      <c r="Y1672" s="2"/>
      <c r="Z1672" s="2"/>
      <c r="AA1672" s="2"/>
    </row>
    <row r="1673" spans="21:27" ht="20.100000000000001" customHeight="1" x14ac:dyDescent="0.2">
      <c r="U1673" s="2"/>
      <c r="V1673" s="2"/>
      <c r="W1673" s="2"/>
      <c r="X1673" s="2"/>
      <c r="Y1673" s="2"/>
      <c r="Z1673" s="2"/>
      <c r="AA1673" s="2"/>
    </row>
    <row r="1674" spans="21:27" ht="20.100000000000001" customHeight="1" x14ac:dyDescent="0.2">
      <c r="U1674" s="2"/>
      <c r="V1674" s="2"/>
      <c r="W1674" s="2"/>
      <c r="X1674" s="2"/>
      <c r="Y1674" s="2"/>
      <c r="Z1674" s="2"/>
      <c r="AA1674" s="2"/>
    </row>
    <row r="1675" spans="21:27" ht="20.100000000000001" customHeight="1" x14ac:dyDescent="0.2">
      <c r="U1675" s="2"/>
      <c r="V1675" s="2"/>
      <c r="W1675" s="2"/>
      <c r="X1675" s="2"/>
      <c r="Y1675" s="2"/>
      <c r="Z1675" s="2"/>
      <c r="AA1675" s="2"/>
    </row>
    <row r="1676" spans="21:27" ht="20.100000000000001" customHeight="1" x14ac:dyDescent="0.2">
      <c r="U1676" s="2"/>
      <c r="V1676" s="2"/>
      <c r="W1676" s="2"/>
      <c r="X1676" s="2"/>
      <c r="Y1676" s="2"/>
      <c r="Z1676" s="2"/>
      <c r="AA1676" s="2"/>
    </row>
    <row r="1677" spans="21:27" ht="20.100000000000001" customHeight="1" x14ac:dyDescent="0.2">
      <c r="U1677" s="2"/>
      <c r="V1677" s="2"/>
      <c r="W1677" s="2"/>
      <c r="X1677" s="2"/>
      <c r="Y1677" s="2"/>
      <c r="Z1677" s="2"/>
      <c r="AA1677" s="2"/>
    </row>
    <row r="1678" spans="21:27" ht="20.100000000000001" customHeight="1" x14ac:dyDescent="0.2">
      <c r="U1678" s="2"/>
      <c r="V1678" s="2"/>
      <c r="W1678" s="2"/>
      <c r="X1678" s="2"/>
      <c r="Y1678" s="2"/>
      <c r="Z1678" s="2"/>
      <c r="AA1678" s="2"/>
    </row>
    <row r="1679" spans="21:27" ht="20.100000000000001" customHeight="1" x14ac:dyDescent="0.2">
      <c r="U1679" s="2"/>
      <c r="V1679" s="2"/>
      <c r="W1679" s="2"/>
      <c r="X1679" s="2"/>
      <c r="Y1679" s="2"/>
      <c r="Z1679" s="2"/>
      <c r="AA1679" s="2"/>
    </row>
    <row r="1680" spans="21:27" ht="20.100000000000001" customHeight="1" x14ac:dyDescent="0.2">
      <c r="U1680" s="2"/>
      <c r="V1680" s="2"/>
      <c r="W1680" s="2"/>
      <c r="X1680" s="2"/>
      <c r="Y1680" s="2"/>
      <c r="Z1680" s="2"/>
      <c r="AA1680" s="2"/>
    </row>
    <row r="1681" spans="21:27" ht="20.100000000000001" customHeight="1" x14ac:dyDescent="0.2">
      <c r="U1681" s="2"/>
      <c r="V1681" s="2"/>
      <c r="W1681" s="2"/>
      <c r="X1681" s="2"/>
      <c r="Y1681" s="2"/>
      <c r="Z1681" s="2"/>
      <c r="AA1681" s="2"/>
    </row>
    <row r="1682" spans="21:27" ht="20.100000000000001" customHeight="1" x14ac:dyDescent="0.2">
      <c r="U1682" s="2"/>
      <c r="V1682" s="2"/>
      <c r="W1682" s="2"/>
      <c r="X1682" s="2"/>
      <c r="Y1682" s="2"/>
      <c r="Z1682" s="2"/>
      <c r="AA1682" s="2"/>
    </row>
    <row r="1683" spans="21:27" ht="20.100000000000001" customHeight="1" x14ac:dyDescent="0.2">
      <c r="U1683" s="2"/>
      <c r="V1683" s="2"/>
      <c r="W1683" s="2"/>
      <c r="X1683" s="2"/>
      <c r="Y1683" s="2"/>
      <c r="Z1683" s="2"/>
      <c r="AA1683" s="2"/>
    </row>
    <row r="1684" spans="21:27" ht="20.100000000000001" customHeight="1" x14ac:dyDescent="0.2">
      <c r="U1684" s="2"/>
      <c r="V1684" s="2"/>
      <c r="W1684" s="2"/>
      <c r="X1684" s="2"/>
      <c r="Y1684" s="2"/>
      <c r="Z1684" s="2"/>
      <c r="AA1684" s="2"/>
    </row>
    <row r="1685" spans="21:27" ht="20.100000000000001" customHeight="1" x14ac:dyDescent="0.2">
      <c r="U1685" s="2"/>
      <c r="V1685" s="2"/>
      <c r="W1685" s="2"/>
      <c r="X1685" s="2"/>
      <c r="Y1685" s="2"/>
      <c r="Z1685" s="2"/>
      <c r="AA1685" s="2"/>
    </row>
    <row r="1686" spans="21:27" ht="20.100000000000001" customHeight="1" x14ac:dyDescent="0.2">
      <c r="U1686" s="2"/>
      <c r="V1686" s="2"/>
      <c r="W1686" s="2"/>
      <c r="X1686" s="2"/>
      <c r="Y1686" s="2"/>
      <c r="Z1686" s="2"/>
      <c r="AA1686" s="2"/>
    </row>
    <row r="1687" spans="21:27" ht="20.100000000000001" customHeight="1" x14ac:dyDescent="0.2">
      <c r="U1687" s="2"/>
      <c r="V1687" s="2"/>
      <c r="W1687" s="2"/>
      <c r="X1687" s="2"/>
      <c r="Y1687" s="2"/>
      <c r="Z1687" s="2"/>
      <c r="AA1687" s="2"/>
    </row>
    <row r="1688" spans="21:27" ht="20.100000000000001" customHeight="1" x14ac:dyDescent="0.2">
      <c r="U1688" s="2"/>
      <c r="V1688" s="2"/>
      <c r="W1688" s="2"/>
      <c r="X1688" s="2"/>
      <c r="Y1688" s="2"/>
      <c r="Z1688" s="2"/>
      <c r="AA1688" s="2"/>
    </row>
    <row r="1689" spans="21:27" ht="20.100000000000001" customHeight="1" x14ac:dyDescent="0.2">
      <c r="U1689" s="2"/>
      <c r="V1689" s="2"/>
      <c r="W1689" s="2"/>
      <c r="X1689" s="2"/>
      <c r="Y1689" s="2"/>
      <c r="Z1689" s="2"/>
      <c r="AA1689" s="2"/>
    </row>
    <row r="1690" spans="21:27" ht="20.100000000000001" customHeight="1" x14ac:dyDescent="0.2">
      <c r="U1690" s="2"/>
      <c r="V1690" s="2"/>
      <c r="W1690" s="2"/>
      <c r="X1690" s="2"/>
      <c r="Y1690" s="2"/>
      <c r="Z1690" s="2"/>
      <c r="AA1690" s="2"/>
    </row>
    <row r="1691" spans="21:27" ht="20.100000000000001" customHeight="1" x14ac:dyDescent="0.2">
      <c r="U1691" s="2"/>
      <c r="V1691" s="2"/>
      <c r="W1691" s="2"/>
      <c r="X1691" s="2"/>
      <c r="Y1691" s="2"/>
      <c r="Z1691" s="2"/>
      <c r="AA1691" s="2"/>
    </row>
    <row r="1692" spans="21:27" ht="20.100000000000001" customHeight="1" x14ac:dyDescent="0.2">
      <c r="U1692" s="2"/>
      <c r="V1692" s="2"/>
      <c r="W1692" s="2"/>
      <c r="X1692" s="2"/>
      <c r="Y1692" s="2"/>
      <c r="Z1692" s="2"/>
      <c r="AA1692" s="2"/>
    </row>
    <row r="1693" spans="21:27" ht="20.100000000000001" customHeight="1" x14ac:dyDescent="0.2">
      <c r="U1693" s="2"/>
      <c r="V1693" s="2"/>
      <c r="W1693" s="2"/>
      <c r="X1693" s="2"/>
      <c r="Y1693" s="2"/>
      <c r="Z1693" s="2"/>
      <c r="AA1693" s="2"/>
    </row>
    <row r="1694" spans="21:27" ht="20.100000000000001" customHeight="1" x14ac:dyDescent="0.2">
      <c r="U1694" s="2"/>
      <c r="V1694" s="2"/>
      <c r="W1694" s="2"/>
      <c r="X1694" s="2"/>
      <c r="Y1694" s="2"/>
      <c r="Z1694" s="2"/>
      <c r="AA1694" s="2"/>
    </row>
    <row r="1695" spans="21:27" ht="20.100000000000001" customHeight="1" x14ac:dyDescent="0.2">
      <c r="U1695" s="2"/>
      <c r="V1695" s="2"/>
      <c r="W1695" s="2"/>
      <c r="X1695" s="2"/>
      <c r="Y1695" s="2"/>
      <c r="Z1695" s="2"/>
      <c r="AA1695" s="2"/>
    </row>
    <row r="1696" spans="21:27" ht="20.100000000000001" customHeight="1" x14ac:dyDescent="0.2">
      <c r="U1696" s="2"/>
      <c r="V1696" s="2"/>
      <c r="W1696" s="2"/>
      <c r="X1696" s="2"/>
      <c r="Y1696" s="2"/>
      <c r="Z1696" s="2"/>
      <c r="AA1696" s="2"/>
    </row>
    <row r="1697" spans="21:27" ht="20.100000000000001" customHeight="1" x14ac:dyDescent="0.2">
      <c r="U1697" s="2"/>
      <c r="V1697" s="2"/>
      <c r="W1697" s="2"/>
      <c r="X1697" s="2"/>
      <c r="Y1697" s="2"/>
      <c r="Z1697" s="2"/>
      <c r="AA1697" s="2"/>
    </row>
    <row r="1698" spans="21:27" ht="20.100000000000001" customHeight="1" x14ac:dyDescent="0.2">
      <c r="U1698" s="2"/>
      <c r="V1698" s="2"/>
      <c r="W1698" s="2"/>
      <c r="X1698" s="2"/>
      <c r="Y1698" s="2"/>
      <c r="Z1698" s="2"/>
      <c r="AA1698" s="2"/>
    </row>
    <row r="1699" spans="21:27" ht="20.100000000000001" customHeight="1" x14ac:dyDescent="0.2">
      <c r="U1699" s="2"/>
      <c r="V1699" s="2"/>
      <c r="W1699" s="2"/>
      <c r="X1699" s="2"/>
      <c r="Y1699" s="2"/>
      <c r="Z1699" s="2"/>
      <c r="AA1699" s="2"/>
    </row>
    <row r="1700" spans="21:27" ht="20.100000000000001" customHeight="1" x14ac:dyDescent="0.2">
      <c r="U1700" s="2"/>
      <c r="V1700" s="2"/>
      <c r="W1700" s="2"/>
      <c r="X1700" s="2"/>
      <c r="Y1700" s="2"/>
      <c r="Z1700" s="2"/>
      <c r="AA1700" s="2"/>
    </row>
    <row r="1701" spans="21:27" ht="20.100000000000001" customHeight="1" x14ac:dyDescent="0.2">
      <c r="U1701" s="2"/>
      <c r="V1701" s="2"/>
      <c r="W1701" s="2"/>
      <c r="X1701" s="2"/>
      <c r="Y1701" s="2"/>
      <c r="Z1701" s="2"/>
      <c r="AA1701" s="2"/>
    </row>
    <row r="1702" spans="21:27" ht="20.100000000000001" customHeight="1" x14ac:dyDescent="0.2">
      <c r="U1702" s="2"/>
      <c r="V1702" s="2"/>
      <c r="W1702" s="2"/>
      <c r="X1702" s="2"/>
      <c r="Y1702" s="2"/>
      <c r="Z1702" s="2"/>
      <c r="AA1702" s="2"/>
    </row>
    <row r="1703" spans="21:27" ht="20.100000000000001" customHeight="1" x14ac:dyDescent="0.2">
      <c r="U1703" s="2"/>
      <c r="V1703" s="2"/>
      <c r="W1703" s="2"/>
      <c r="X1703" s="2"/>
      <c r="Y1703" s="2"/>
      <c r="Z1703" s="2"/>
      <c r="AA1703" s="2"/>
    </row>
    <row r="1704" spans="21:27" ht="20.100000000000001" customHeight="1" x14ac:dyDescent="0.2">
      <c r="U1704" s="2"/>
      <c r="V1704" s="2"/>
      <c r="W1704" s="2"/>
      <c r="X1704" s="2"/>
      <c r="Y1704" s="2"/>
      <c r="Z1704" s="2"/>
      <c r="AA1704" s="2"/>
    </row>
    <row r="1705" spans="21:27" ht="20.100000000000001" customHeight="1" x14ac:dyDescent="0.2">
      <c r="U1705" s="2"/>
      <c r="V1705" s="2"/>
      <c r="W1705" s="2"/>
      <c r="X1705" s="2"/>
      <c r="Y1705" s="2"/>
      <c r="Z1705" s="2"/>
      <c r="AA1705" s="2"/>
    </row>
    <row r="1706" spans="21:27" ht="20.100000000000001" customHeight="1" x14ac:dyDescent="0.2">
      <c r="U1706" s="2"/>
      <c r="V1706" s="2"/>
      <c r="W1706" s="2"/>
      <c r="X1706" s="2"/>
      <c r="Y1706" s="2"/>
      <c r="Z1706" s="2"/>
      <c r="AA1706" s="2"/>
    </row>
    <row r="1707" spans="21:27" ht="20.100000000000001" customHeight="1" x14ac:dyDescent="0.2">
      <c r="U1707" s="2"/>
      <c r="V1707" s="2"/>
      <c r="W1707" s="2"/>
      <c r="X1707" s="2"/>
      <c r="Y1707" s="2"/>
      <c r="Z1707" s="2"/>
      <c r="AA1707" s="2"/>
    </row>
    <row r="1708" spans="21:27" ht="20.100000000000001" customHeight="1" x14ac:dyDescent="0.2">
      <c r="U1708" s="2"/>
      <c r="V1708" s="2"/>
      <c r="W1708" s="2"/>
      <c r="X1708" s="2"/>
      <c r="Y1708" s="2"/>
      <c r="Z1708" s="2"/>
      <c r="AA1708" s="2"/>
    </row>
    <row r="1709" spans="21:27" ht="20.100000000000001" customHeight="1" x14ac:dyDescent="0.2">
      <c r="U1709" s="2"/>
      <c r="V1709" s="2"/>
      <c r="W1709" s="2"/>
      <c r="X1709" s="2"/>
      <c r="Y1709" s="2"/>
      <c r="Z1709" s="2"/>
      <c r="AA1709" s="2"/>
    </row>
    <row r="1710" spans="21:27" ht="20.100000000000001" customHeight="1" x14ac:dyDescent="0.2">
      <c r="U1710" s="2"/>
      <c r="V1710" s="2"/>
      <c r="W1710" s="2"/>
      <c r="X1710" s="2"/>
      <c r="Y1710" s="2"/>
      <c r="Z1710" s="2"/>
      <c r="AA1710" s="2"/>
    </row>
    <row r="1711" spans="21:27" ht="20.100000000000001" customHeight="1" x14ac:dyDescent="0.2">
      <c r="U1711" s="2"/>
      <c r="V1711" s="2"/>
      <c r="W1711" s="2"/>
      <c r="X1711" s="2"/>
      <c r="Y1711" s="2"/>
      <c r="Z1711" s="2"/>
      <c r="AA1711" s="2"/>
    </row>
    <row r="1712" spans="21:27" ht="20.100000000000001" customHeight="1" x14ac:dyDescent="0.2">
      <c r="U1712" s="2"/>
      <c r="V1712" s="2"/>
      <c r="W1712" s="2"/>
      <c r="X1712" s="2"/>
      <c r="Y1712" s="2"/>
      <c r="Z1712" s="2"/>
      <c r="AA1712" s="2"/>
    </row>
    <row r="1713" spans="21:27" ht="20.100000000000001" customHeight="1" x14ac:dyDescent="0.2">
      <c r="U1713" s="2"/>
      <c r="V1713" s="2"/>
      <c r="W1713" s="2"/>
      <c r="X1713" s="2"/>
      <c r="Y1713" s="2"/>
      <c r="Z1713" s="2"/>
      <c r="AA1713" s="2"/>
    </row>
    <row r="1714" spans="21:27" ht="20.100000000000001" customHeight="1" x14ac:dyDescent="0.2">
      <c r="U1714" s="2"/>
      <c r="V1714" s="2"/>
      <c r="W1714" s="2"/>
      <c r="X1714" s="2"/>
      <c r="Y1714" s="2"/>
      <c r="Z1714" s="2"/>
      <c r="AA1714" s="2"/>
    </row>
    <row r="1715" spans="21:27" ht="20.100000000000001" customHeight="1" x14ac:dyDescent="0.2">
      <c r="U1715" s="2"/>
      <c r="V1715" s="2"/>
      <c r="W1715" s="2"/>
      <c r="X1715" s="2"/>
      <c r="Y1715" s="2"/>
      <c r="Z1715" s="2"/>
      <c r="AA1715" s="2"/>
    </row>
    <row r="1716" spans="21:27" ht="20.100000000000001" customHeight="1" x14ac:dyDescent="0.2">
      <c r="U1716" s="2"/>
      <c r="V1716" s="2"/>
      <c r="W1716" s="2"/>
      <c r="X1716" s="2"/>
      <c r="Y1716" s="2"/>
      <c r="Z1716" s="2"/>
      <c r="AA1716" s="2"/>
    </row>
    <row r="1717" spans="21:27" ht="20.100000000000001" customHeight="1" x14ac:dyDescent="0.2">
      <c r="U1717" s="2"/>
      <c r="V1717" s="2"/>
      <c r="W1717" s="2"/>
      <c r="X1717" s="2"/>
      <c r="Y1717" s="2"/>
      <c r="Z1717" s="2"/>
      <c r="AA1717" s="2"/>
    </row>
    <row r="1718" spans="21:27" ht="20.100000000000001" customHeight="1" x14ac:dyDescent="0.2">
      <c r="U1718" s="2"/>
      <c r="V1718" s="2"/>
      <c r="W1718" s="2"/>
      <c r="X1718" s="2"/>
      <c r="Y1718" s="2"/>
      <c r="Z1718" s="2"/>
      <c r="AA1718" s="2"/>
    </row>
    <row r="1719" spans="21:27" ht="20.100000000000001" customHeight="1" x14ac:dyDescent="0.2">
      <c r="U1719" s="2"/>
      <c r="V1719" s="2"/>
      <c r="W1719" s="2"/>
      <c r="X1719" s="2"/>
      <c r="Y1719" s="2"/>
      <c r="Z1719" s="2"/>
      <c r="AA1719" s="2"/>
    </row>
    <row r="1720" spans="21:27" ht="20.100000000000001" customHeight="1" x14ac:dyDescent="0.2">
      <c r="U1720" s="2"/>
      <c r="V1720" s="2"/>
      <c r="W1720" s="2"/>
      <c r="X1720" s="2"/>
      <c r="Y1720" s="2"/>
      <c r="Z1720" s="2"/>
      <c r="AA1720" s="2"/>
    </row>
    <row r="1721" spans="21:27" ht="20.100000000000001" customHeight="1" x14ac:dyDescent="0.2">
      <c r="U1721" s="2"/>
      <c r="V1721" s="2"/>
      <c r="W1721" s="2"/>
      <c r="X1721" s="2"/>
      <c r="Y1721" s="2"/>
      <c r="Z1721" s="2"/>
      <c r="AA1721" s="2"/>
    </row>
    <row r="1722" spans="21:27" ht="20.100000000000001" customHeight="1" x14ac:dyDescent="0.2">
      <c r="U1722" s="2"/>
      <c r="V1722" s="2"/>
      <c r="W1722" s="2"/>
      <c r="X1722" s="2"/>
      <c r="Y1722" s="2"/>
      <c r="Z1722" s="2"/>
      <c r="AA1722" s="2"/>
    </row>
    <row r="1723" spans="21:27" ht="20.100000000000001" customHeight="1" x14ac:dyDescent="0.2">
      <c r="U1723" s="2"/>
      <c r="V1723" s="2"/>
      <c r="W1723" s="2"/>
      <c r="X1723" s="2"/>
      <c r="Y1723" s="2"/>
      <c r="Z1723" s="2"/>
      <c r="AA1723" s="2"/>
    </row>
    <row r="1724" spans="21:27" ht="20.100000000000001" customHeight="1" x14ac:dyDescent="0.2">
      <c r="U1724" s="2"/>
      <c r="V1724" s="2"/>
      <c r="W1724" s="2"/>
      <c r="X1724" s="2"/>
      <c r="Y1724" s="2"/>
      <c r="Z1724" s="2"/>
      <c r="AA1724" s="2"/>
    </row>
    <row r="1725" spans="21:27" ht="20.100000000000001" customHeight="1" x14ac:dyDescent="0.2">
      <c r="U1725" s="2"/>
      <c r="V1725" s="2"/>
      <c r="W1725" s="2"/>
      <c r="X1725" s="2"/>
      <c r="Y1725" s="2"/>
      <c r="Z1725" s="2"/>
      <c r="AA1725" s="2"/>
    </row>
    <row r="1726" spans="21:27" ht="20.100000000000001" customHeight="1" x14ac:dyDescent="0.2">
      <c r="U1726" s="2"/>
      <c r="V1726" s="2"/>
      <c r="W1726" s="2"/>
      <c r="X1726" s="2"/>
      <c r="Y1726" s="2"/>
      <c r="Z1726" s="2"/>
      <c r="AA1726" s="2"/>
    </row>
    <row r="1727" spans="21:27" ht="20.100000000000001" customHeight="1" x14ac:dyDescent="0.2">
      <c r="U1727" s="2"/>
      <c r="V1727" s="2"/>
      <c r="W1727" s="2"/>
      <c r="X1727" s="2"/>
      <c r="Y1727" s="2"/>
      <c r="Z1727" s="2"/>
      <c r="AA1727" s="2"/>
    </row>
    <row r="1728" spans="21:27" ht="20.100000000000001" customHeight="1" x14ac:dyDescent="0.2">
      <c r="U1728" s="2"/>
      <c r="V1728" s="2"/>
      <c r="W1728" s="2"/>
      <c r="X1728" s="2"/>
      <c r="Y1728" s="2"/>
      <c r="Z1728" s="2"/>
      <c r="AA1728" s="2"/>
    </row>
    <row r="1729" spans="21:27" ht="20.100000000000001" customHeight="1" x14ac:dyDescent="0.2">
      <c r="U1729" s="2"/>
      <c r="V1729" s="2"/>
      <c r="W1729" s="2"/>
      <c r="X1729" s="2"/>
      <c r="Y1729" s="2"/>
      <c r="Z1729" s="2"/>
      <c r="AA1729" s="2"/>
    </row>
    <row r="1730" spans="21:27" ht="20.100000000000001" customHeight="1" x14ac:dyDescent="0.2">
      <c r="U1730" s="2"/>
      <c r="V1730" s="2"/>
      <c r="W1730" s="2"/>
      <c r="X1730" s="2"/>
      <c r="Y1730" s="2"/>
      <c r="Z1730" s="2"/>
      <c r="AA1730" s="2"/>
    </row>
    <row r="1731" spans="21:27" ht="20.100000000000001" customHeight="1" x14ac:dyDescent="0.2">
      <c r="U1731" s="2"/>
      <c r="V1731" s="2"/>
      <c r="W1731" s="2"/>
      <c r="X1731" s="2"/>
      <c r="Y1731" s="2"/>
      <c r="Z1731" s="2"/>
      <c r="AA1731" s="2"/>
    </row>
    <row r="1732" spans="21:27" ht="20.100000000000001" customHeight="1" x14ac:dyDescent="0.2">
      <c r="U1732" s="2"/>
      <c r="V1732" s="2"/>
      <c r="W1732" s="2"/>
      <c r="X1732" s="2"/>
      <c r="Y1732" s="2"/>
      <c r="Z1732" s="2"/>
      <c r="AA1732" s="2"/>
    </row>
    <row r="1733" spans="21:27" ht="20.100000000000001" customHeight="1" x14ac:dyDescent="0.2">
      <c r="U1733" s="2"/>
      <c r="V1733" s="2"/>
      <c r="W1733" s="2"/>
      <c r="X1733" s="2"/>
      <c r="Y1733" s="2"/>
      <c r="Z1733" s="2"/>
      <c r="AA1733" s="2"/>
    </row>
    <row r="1734" spans="21:27" ht="20.100000000000001" customHeight="1" x14ac:dyDescent="0.2">
      <c r="U1734" s="2"/>
      <c r="V1734" s="2"/>
      <c r="W1734" s="2"/>
      <c r="X1734" s="2"/>
      <c r="Y1734" s="2"/>
      <c r="Z1734" s="2"/>
      <c r="AA1734" s="2"/>
    </row>
    <row r="1735" spans="21:27" ht="20.100000000000001" customHeight="1" x14ac:dyDescent="0.2">
      <c r="U1735" s="2"/>
      <c r="V1735" s="2"/>
      <c r="W1735" s="2"/>
      <c r="X1735" s="2"/>
      <c r="Y1735" s="2"/>
      <c r="Z1735" s="2"/>
      <c r="AA1735" s="2"/>
    </row>
    <row r="1736" spans="21:27" ht="20.100000000000001" customHeight="1" x14ac:dyDescent="0.2">
      <c r="U1736" s="2"/>
      <c r="V1736" s="2"/>
      <c r="W1736" s="2"/>
      <c r="X1736" s="2"/>
      <c r="Y1736" s="2"/>
      <c r="Z1736" s="2"/>
      <c r="AA1736" s="2"/>
    </row>
    <row r="1737" spans="21:27" ht="20.100000000000001" customHeight="1" x14ac:dyDescent="0.2">
      <c r="U1737" s="2"/>
      <c r="V1737" s="2"/>
      <c r="W1737" s="2"/>
      <c r="X1737" s="2"/>
      <c r="Y1737" s="2"/>
      <c r="Z1737" s="2"/>
      <c r="AA1737" s="2"/>
    </row>
    <row r="1738" spans="21:27" ht="20.100000000000001" customHeight="1" x14ac:dyDescent="0.2">
      <c r="U1738" s="2"/>
      <c r="V1738" s="2"/>
      <c r="W1738" s="2"/>
      <c r="X1738" s="2"/>
      <c r="Y1738" s="2"/>
      <c r="Z1738" s="2"/>
      <c r="AA1738" s="2"/>
    </row>
    <row r="1739" spans="21:27" ht="20.100000000000001" customHeight="1" x14ac:dyDescent="0.2">
      <c r="U1739" s="2"/>
      <c r="V1739" s="2"/>
      <c r="W1739" s="2"/>
      <c r="X1739" s="2"/>
      <c r="Y1739" s="2"/>
      <c r="Z1739" s="2"/>
      <c r="AA1739" s="2"/>
    </row>
    <row r="1740" spans="21:27" ht="20.100000000000001" customHeight="1" x14ac:dyDescent="0.2">
      <c r="U1740" s="2"/>
      <c r="V1740" s="2"/>
      <c r="W1740" s="2"/>
      <c r="X1740" s="2"/>
      <c r="Y1740" s="2"/>
      <c r="Z1740" s="2"/>
      <c r="AA1740" s="2"/>
    </row>
    <row r="1741" spans="21:27" ht="20.100000000000001" customHeight="1" x14ac:dyDescent="0.2">
      <c r="U1741" s="2"/>
      <c r="V1741" s="2"/>
      <c r="W1741" s="2"/>
      <c r="X1741" s="2"/>
      <c r="Y1741" s="2"/>
      <c r="Z1741" s="2"/>
      <c r="AA1741" s="2"/>
    </row>
    <row r="1742" spans="21:27" ht="20.100000000000001" customHeight="1" x14ac:dyDescent="0.2">
      <c r="U1742" s="2"/>
      <c r="V1742" s="2"/>
      <c r="W1742" s="2"/>
      <c r="X1742" s="2"/>
      <c r="Y1742" s="2"/>
      <c r="Z1742" s="2"/>
      <c r="AA1742" s="2"/>
    </row>
    <row r="1743" spans="21:27" ht="20.100000000000001" customHeight="1" x14ac:dyDescent="0.2">
      <c r="U1743" s="2"/>
      <c r="V1743" s="2"/>
      <c r="W1743" s="2"/>
      <c r="X1743" s="2"/>
      <c r="Y1743" s="2"/>
      <c r="Z1743" s="2"/>
      <c r="AA1743" s="2"/>
    </row>
    <row r="1744" spans="21:27" ht="20.100000000000001" customHeight="1" x14ac:dyDescent="0.2">
      <c r="U1744" s="2"/>
      <c r="V1744" s="2"/>
      <c r="W1744" s="2"/>
      <c r="X1744" s="2"/>
      <c r="Y1744" s="2"/>
      <c r="Z1744" s="2"/>
      <c r="AA1744" s="2"/>
    </row>
    <row r="1745" spans="21:27" ht="20.100000000000001" customHeight="1" x14ac:dyDescent="0.2">
      <c r="U1745" s="2"/>
      <c r="V1745" s="2"/>
      <c r="W1745" s="2"/>
      <c r="X1745" s="2"/>
      <c r="Y1745" s="2"/>
      <c r="Z1745" s="2"/>
      <c r="AA1745" s="2"/>
    </row>
    <row r="1746" spans="21:27" ht="20.100000000000001" customHeight="1" x14ac:dyDescent="0.2">
      <c r="U1746" s="2"/>
      <c r="V1746" s="2"/>
      <c r="W1746" s="2"/>
      <c r="X1746" s="2"/>
      <c r="Y1746" s="2"/>
      <c r="Z1746" s="2"/>
      <c r="AA1746" s="2"/>
    </row>
    <row r="1747" spans="21:27" ht="20.100000000000001" customHeight="1" x14ac:dyDescent="0.2">
      <c r="U1747" s="2"/>
      <c r="V1747" s="2"/>
      <c r="W1747" s="2"/>
      <c r="X1747" s="2"/>
      <c r="Y1747" s="2"/>
      <c r="Z1747" s="2"/>
      <c r="AA1747" s="2"/>
    </row>
    <row r="1748" spans="21:27" ht="20.100000000000001" customHeight="1" x14ac:dyDescent="0.2">
      <c r="U1748" s="2"/>
      <c r="V1748" s="2"/>
      <c r="W1748" s="2"/>
      <c r="X1748" s="2"/>
      <c r="Y1748" s="2"/>
      <c r="Z1748" s="2"/>
      <c r="AA1748" s="2"/>
    </row>
    <row r="1749" spans="21:27" ht="20.100000000000001" customHeight="1" x14ac:dyDescent="0.2">
      <c r="U1749" s="2"/>
      <c r="V1749" s="2"/>
      <c r="W1749" s="2"/>
      <c r="X1749" s="2"/>
      <c r="Y1749" s="2"/>
      <c r="Z1749" s="2"/>
      <c r="AA1749" s="2"/>
    </row>
    <row r="1750" spans="21:27" ht="20.100000000000001" customHeight="1" x14ac:dyDescent="0.2">
      <c r="U1750" s="2"/>
      <c r="V1750" s="2"/>
      <c r="W1750" s="2"/>
      <c r="X1750" s="2"/>
      <c r="Y1750" s="2"/>
      <c r="Z1750" s="2"/>
      <c r="AA1750" s="2"/>
    </row>
    <row r="1751" spans="21:27" ht="20.100000000000001" customHeight="1" x14ac:dyDescent="0.2">
      <c r="U1751" s="2"/>
      <c r="V1751" s="2"/>
      <c r="W1751" s="2"/>
      <c r="X1751" s="2"/>
      <c r="Y1751" s="2"/>
      <c r="Z1751" s="2"/>
      <c r="AA1751" s="2"/>
    </row>
    <row r="1752" spans="21:27" ht="20.100000000000001" customHeight="1" x14ac:dyDescent="0.2">
      <c r="U1752" s="2"/>
      <c r="V1752" s="2"/>
      <c r="W1752" s="2"/>
      <c r="X1752" s="2"/>
      <c r="Y1752" s="2"/>
      <c r="Z1752" s="2"/>
      <c r="AA1752" s="2"/>
    </row>
    <row r="1753" spans="21:27" ht="20.100000000000001" customHeight="1" x14ac:dyDescent="0.2">
      <c r="U1753" s="2"/>
      <c r="V1753" s="2"/>
      <c r="W1753" s="2"/>
      <c r="X1753" s="2"/>
      <c r="Y1753" s="2"/>
      <c r="Z1753" s="2"/>
      <c r="AA1753" s="2"/>
    </row>
    <row r="1754" spans="21:27" ht="20.100000000000001" customHeight="1" x14ac:dyDescent="0.2">
      <c r="U1754" s="2"/>
      <c r="V1754" s="2"/>
      <c r="W1754" s="2"/>
      <c r="X1754" s="2"/>
      <c r="Y1754" s="2"/>
      <c r="Z1754" s="2"/>
      <c r="AA1754" s="2"/>
    </row>
    <row r="1755" spans="21:27" ht="20.100000000000001" customHeight="1" x14ac:dyDescent="0.2">
      <c r="U1755" s="2"/>
      <c r="V1755" s="2"/>
      <c r="W1755" s="2"/>
      <c r="X1755" s="2"/>
      <c r="Y1755" s="2"/>
      <c r="Z1755" s="2"/>
      <c r="AA1755" s="2"/>
    </row>
    <row r="1756" spans="21:27" ht="20.100000000000001" customHeight="1" x14ac:dyDescent="0.2">
      <c r="U1756" s="2"/>
      <c r="V1756" s="2"/>
      <c r="W1756" s="2"/>
      <c r="X1756" s="2"/>
      <c r="Y1756" s="2"/>
      <c r="Z1756" s="2"/>
      <c r="AA1756" s="2"/>
    </row>
    <row r="1757" spans="21:27" ht="20.100000000000001" customHeight="1" x14ac:dyDescent="0.2">
      <c r="U1757" s="2"/>
      <c r="V1757" s="2"/>
      <c r="W1757" s="2"/>
      <c r="X1757" s="2"/>
      <c r="Y1757" s="2"/>
      <c r="Z1757" s="2"/>
      <c r="AA1757" s="2"/>
    </row>
    <row r="1758" spans="21:27" ht="20.100000000000001" customHeight="1" x14ac:dyDescent="0.2">
      <c r="U1758" s="2"/>
      <c r="V1758" s="2"/>
      <c r="W1758" s="2"/>
      <c r="X1758" s="2"/>
      <c r="Y1758" s="2"/>
      <c r="Z1758" s="2"/>
      <c r="AA1758" s="2"/>
    </row>
    <row r="1759" spans="21:27" ht="20.100000000000001" customHeight="1" x14ac:dyDescent="0.2">
      <c r="U1759" s="2"/>
      <c r="V1759" s="2"/>
      <c r="W1759" s="2"/>
      <c r="X1759" s="2"/>
      <c r="Y1759" s="2"/>
      <c r="Z1759" s="2"/>
      <c r="AA1759" s="2"/>
    </row>
    <row r="1760" spans="21:27" ht="20.100000000000001" customHeight="1" x14ac:dyDescent="0.2">
      <c r="U1760" s="2"/>
      <c r="V1760" s="2"/>
      <c r="W1760" s="2"/>
      <c r="X1760" s="2"/>
      <c r="Y1760" s="2"/>
      <c r="Z1760" s="2"/>
      <c r="AA1760" s="2"/>
    </row>
    <row r="1761" spans="21:27" ht="20.100000000000001" customHeight="1" x14ac:dyDescent="0.2">
      <c r="U1761" s="2"/>
      <c r="V1761" s="2"/>
      <c r="W1761" s="2"/>
      <c r="X1761" s="2"/>
      <c r="Y1761" s="2"/>
      <c r="Z1761" s="2"/>
      <c r="AA1761" s="2"/>
    </row>
    <row r="1762" spans="21:27" ht="20.100000000000001" customHeight="1" x14ac:dyDescent="0.2">
      <c r="U1762" s="2"/>
      <c r="V1762" s="2"/>
      <c r="W1762" s="2"/>
      <c r="X1762" s="2"/>
      <c r="Y1762" s="2"/>
      <c r="Z1762" s="2"/>
      <c r="AA1762" s="2"/>
    </row>
    <row r="1763" spans="21:27" ht="20.100000000000001" customHeight="1" x14ac:dyDescent="0.2">
      <c r="U1763" s="2"/>
      <c r="V1763" s="2"/>
      <c r="W1763" s="2"/>
      <c r="X1763" s="2"/>
      <c r="Y1763" s="2"/>
      <c r="Z1763" s="2"/>
      <c r="AA1763" s="2"/>
    </row>
    <row r="1764" spans="21:27" ht="20.100000000000001" customHeight="1" x14ac:dyDescent="0.2">
      <c r="U1764" s="2"/>
      <c r="V1764" s="2"/>
      <c r="W1764" s="2"/>
      <c r="X1764" s="2"/>
      <c r="Y1764" s="2"/>
      <c r="Z1764" s="2"/>
      <c r="AA1764" s="2"/>
    </row>
    <row r="1765" spans="21:27" ht="20.100000000000001" customHeight="1" x14ac:dyDescent="0.2">
      <c r="U1765" s="2"/>
      <c r="V1765" s="2"/>
      <c r="W1765" s="2"/>
      <c r="X1765" s="2"/>
      <c r="Y1765" s="2"/>
      <c r="Z1765" s="2"/>
      <c r="AA1765" s="2"/>
    </row>
    <row r="1766" spans="21:27" ht="20.100000000000001" customHeight="1" x14ac:dyDescent="0.2">
      <c r="U1766" s="2"/>
      <c r="V1766" s="2"/>
      <c r="W1766" s="2"/>
      <c r="X1766" s="2"/>
      <c r="Y1766" s="2"/>
      <c r="Z1766" s="2"/>
      <c r="AA1766" s="2"/>
    </row>
    <row r="1767" spans="21:27" ht="20.100000000000001" customHeight="1" x14ac:dyDescent="0.2">
      <c r="U1767" s="2"/>
      <c r="V1767" s="2"/>
      <c r="W1767" s="2"/>
      <c r="X1767" s="2"/>
      <c r="Y1767" s="2"/>
      <c r="Z1767" s="2"/>
      <c r="AA1767" s="2"/>
    </row>
    <row r="1768" spans="21:27" ht="20.100000000000001" customHeight="1" x14ac:dyDescent="0.2">
      <c r="U1768" s="2"/>
      <c r="V1768" s="2"/>
      <c r="W1768" s="2"/>
      <c r="X1768" s="2"/>
      <c r="Y1768" s="2"/>
      <c r="Z1768" s="2"/>
      <c r="AA1768" s="2"/>
    </row>
    <row r="1769" spans="21:27" ht="20.100000000000001" customHeight="1" x14ac:dyDescent="0.2">
      <c r="U1769" s="2"/>
      <c r="V1769" s="2"/>
      <c r="W1769" s="2"/>
      <c r="X1769" s="2"/>
      <c r="Y1769" s="2"/>
      <c r="Z1769" s="2"/>
      <c r="AA1769" s="2"/>
    </row>
    <row r="1770" spans="21:27" ht="20.100000000000001" customHeight="1" x14ac:dyDescent="0.2">
      <c r="U1770" s="2"/>
      <c r="V1770" s="2"/>
      <c r="W1770" s="2"/>
      <c r="X1770" s="2"/>
      <c r="Y1770" s="2"/>
      <c r="Z1770" s="2"/>
      <c r="AA1770" s="2"/>
    </row>
    <row r="1771" spans="21:27" ht="20.100000000000001" customHeight="1" x14ac:dyDescent="0.2">
      <c r="U1771" s="2"/>
      <c r="V1771" s="2"/>
      <c r="W1771" s="2"/>
      <c r="X1771" s="2"/>
      <c r="Y1771" s="2"/>
      <c r="Z1771" s="2"/>
      <c r="AA1771" s="2"/>
    </row>
    <row r="1772" spans="21:27" ht="20.100000000000001" customHeight="1" x14ac:dyDescent="0.2">
      <c r="U1772" s="2"/>
      <c r="V1772" s="2"/>
      <c r="W1772" s="2"/>
      <c r="X1772" s="2"/>
      <c r="Y1772" s="2"/>
      <c r="Z1772" s="2"/>
      <c r="AA1772" s="2"/>
    </row>
    <row r="1773" spans="21:27" ht="20.100000000000001" customHeight="1" x14ac:dyDescent="0.2">
      <c r="U1773" s="2"/>
      <c r="V1773" s="2"/>
      <c r="W1773" s="2"/>
      <c r="X1773" s="2"/>
      <c r="Y1773" s="2"/>
      <c r="Z1773" s="2"/>
      <c r="AA1773" s="2"/>
    </row>
    <row r="1774" spans="21:27" ht="20.100000000000001" customHeight="1" x14ac:dyDescent="0.2">
      <c r="U1774" s="2"/>
      <c r="V1774" s="2"/>
      <c r="W1774" s="2"/>
      <c r="X1774" s="2"/>
      <c r="Y1774" s="2"/>
      <c r="Z1774" s="2"/>
      <c r="AA1774" s="2"/>
    </row>
    <row r="1775" spans="21:27" ht="20.100000000000001" customHeight="1" x14ac:dyDescent="0.2">
      <c r="U1775" s="2"/>
      <c r="V1775" s="2"/>
      <c r="W1775" s="2"/>
      <c r="X1775" s="2"/>
      <c r="Y1775" s="2"/>
      <c r="Z1775" s="2"/>
      <c r="AA1775" s="2"/>
    </row>
    <row r="1776" spans="21:27" ht="20.100000000000001" customHeight="1" x14ac:dyDescent="0.2">
      <c r="U1776" s="2"/>
      <c r="V1776" s="2"/>
      <c r="W1776" s="2"/>
      <c r="X1776" s="2"/>
      <c r="Y1776" s="2"/>
      <c r="Z1776" s="2"/>
      <c r="AA1776" s="2"/>
    </row>
    <row r="1777" spans="21:27" ht="20.100000000000001" customHeight="1" x14ac:dyDescent="0.2">
      <c r="U1777" s="2"/>
      <c r="V1777" s="2"/>
      <c r="W1777" s="2"/>
      <c r="X1777" s="2"/>
      <c r="Y1777" s="2"/>
      <c r="Z1777" s="2"/>
      <c r="AA1777" s="2"/>
    </row>
    <row r="1778" spans="21:27" ht="20.100000000000001" customHeight="1" x14ac:dyDescent="0.2">
      <c r="U1778" s="2"/>
      <c r="V1778" s="2"/>
      <c r="W1778" s="2"/>
      <c r="X1778" s="2"/>
      <c r="Y1778" s="2"/>
      <c r="Z1778" s="2"/>
      <c r="AA1778" s="2"/>
    </row>
    <row r="1779" spans="21:27" ht="20.100000000000001" customHeight="1" x14ac:dyDescent="0.2">
      <c r="U1779" s="2"/>
      <c r="V1779" s="2"/>
      <c r="W1779" s="2"/>
      <c r="X1779" s="2"/>
      <c r="Y1779" s="2"/>
      <c r="Z1779" s="2"/>
      <c r="AA1779" s="2"/>
    </row>
    <row r="1780" spans="21:27" ht="20.100000000000001" customHeight="1" x14ac:dyDescent="0.2">
      <c r="U1780" s="2"/>
      <c r="V1780" s="2"/>
      <c r="W1780" s="2"/>
      <c r="X1780" s="2"/>
      <c r="Y1780" s="2"/>
      <c r="Z1780" s="2"/>
      <c r="AA1780" s="2"/>
    </row>
    <row r="1781" spans="21:27" ht="20.100000000000001" customHeight="1" x14ac:dyDescent="0.2">
      <c r="U1781" s="2"/>
      <c r="V1781" s="2"/>
      <c r="W1781" s="2"/>
      <c r="X1781" s="2"/>
      <c r="Y1781" s="2"/>
      <c r="Z1781" s="2"/>
      <c r="AA1781" s="2"/>
    </row>
    <row r="1782" spans="21:27" ht="20.100000000000001" customHeight="1" x14ac:dyDescent="0.2">
      <c r="U1782" s="2"/>
      <c r="V1782" s="2"/>
      <c r="W1782" s="2"/>
      <c r="X1782" s="2"/>
      <c r="Y1782" s="2"/>
      <c r="Z1782" s="2"/>
      <c r="AA1782" s="2"/>
    </row>
    <row r="1783" spans="21:27" ht="20.100000000000001" customHeight="1" x14ac:dyDescent="0.2">
      <c r="U1783" s="2"/>
      <c r="V1783" s="2"/>
      <c r="W1783" s="2"/>
      <c r="X1783" s="2"/>
      <c r="Y1783" s="2"/>
      <c r="Z1783" s="2"/>
      <c r="AA1783" s="2"/>
    </row>
    <row r="1784" spans="21:27" ht="20.100000000000001" customHeight="1" x14ac:dyDescent="0.2">
      <c r="U1784" s="2"/>
      <c r="V1784" s="2"/>
      <c r="W1784" s="2"/>
      <c r="X1784" s="2"/>
      <c r="Y1784" s="2"/>
      <c r="Z1784" s="2"/>
      <c r="AA1784" s="2"/>
    </row>
    <row r="1785" spans="21:27" ht="20.100000000000001" customHeight="1" x14ac:dyDescent="0.2">
      <c r="U1785" s="2"/>
      <c r="V1785" s="2"/>
      <c r="W1785" s="2"/>
      <c r="X1785" s="2"/>
      <c r="Y1785" s="2"/>
      <c r="Z1785" s="2"/>
      <c r="AA1785" s="2"/>
    </row>
    <row r="1786" spans="21:27" ht="20.100000000000001" customHeight="1" x14ac:dyDescent="0.2">
      <c r="U1786" s="2"/>
      <c r="V1786" s="2"/>
      <c r="W1786" s="2"/>
      <c r="X1786" s="2"/>
      <c r="Y1786" s="2"/>
      <c r="Z1786" s="2"/>
      <c r="AA1786" s="2"/>
    </row>
    <row r="1787" spans="21:27" ht="20.100000000000001" customHeight="1" x14ac:dyDescent="0.2">
      <c r="U1787" s="2"/>
      <c r="V1787" s="2"/>
      <c r="W1787" s="2"/>
      <c r="X1787" s="2"/>
      <c r="Y1787" s="2"/>
      <c r="Z1787" s="2"/>
      <c r="AA1787" s="2"/>
    </row>
    <row r="1788" spans="21:27" ht="20.100000000000001" customHeight="1" x14ac:dyDescent="0.2">
      <c r="U1788" s="2"/>
      <c r="V1788" s="2"/>
      <c r="W1788" s="2"/>
      <c r="X1788" s="2"/>
      <c r="Y1788" s="2"/>
      <c r="Z1788" s="2"/>
      <c r="AA1788" s="2"/>
    </row>
    <row r="1789" spans="21:27" ht="20.100000000000001" customHeight="1" x14ac:dyDescent="0.2">
      <c r="U1789" s="2"/>
      <c r="V1789" s="2"/>
      <c r="W1789" s="2"/>
      <c r="X1789" s="2"/>
      <c r="Y1789" s="2"/>
      <c r="Z1789" s="2"/>
      <c r="AA1789" s="2"/>
    </row>
    <row r="1790" spans="21:27" ht="20.100000000000001" customHeight="1" x14ac:dyDescent="0.2">
      <c r="U1790" s="2"/>
      <c r="V1790" s="2"/>
      <c r="W1790" s="2"/>
      <c r="X1790" s="2"/>
      <c r="Y1790" s="2"/>
      <c r="Z1790" s="2"/>
      <c r="AA1790" s="2"/>
    </row>
    <row r="1791" spans="21:27" ht="20.100000000000001" customHeight="1" x14ac:dyDescent="0.2">
      <c r="U1791" s="2"/>
      <c r="V1791" s="2"/>
      <c r="W1791" s="2"/>
      <c r="X1791" s="2"/>
      <c r="Y1791" s="2"/>
      <c r="Z1791" s="2"/>
      <c r="AA1791" s="2"/>
    </row>
    <row r="1792" spans="21:27" ht="20.100000000000001" customHeight="1" x14ac:dyDescent="0.2">
      <c r="U1792" s="2"/>
      <c r="V1792" s="2"/>
      <c r="W1792" s="2"/>
      <c r="X1792" s="2"/>
      <c r="Y1792" s="2"/>
      <c r="Z1792" s="2"/>
      <c r="AA1792" s="2"/>
    </row>
    <row r="1793" spans="21:27" ht="20.100000000000001" customHeight="1" x14ac:dyDescent="0.2">
      <c r="U1793" s="2"/>
      <c r="V1793" s="2"/>
      <c r="W1793" s="2"/>
      <c r="X1793" s="2"/>
      <c r="Y1793" s="2"/>
      <c r="Z1793" s="2"/>
      <c r="AA1793" s="2"/>
    </row>
    <row r="1794" spans="21:27" ht="20.100000000000001" customHeight="1" x14ac:dyDescent="0.2">
      <c r="U1794" s="2"/>
      <c r="V1794" s="2"/>
      <c r="W1794" s="2"/>
      <c r="X1794" s="2"/>
      <c r="Y1794" s="2"/>
      <c r="Z1794" s="2"/>
      <c r="AA1794" s="2"/>
    </row>
    <row r="1795" spans="21:27" ht="20.100000000000001" customHeight="1" x14ac:dyDescent="0.2">
      <c r="U1795" s="2"/>
      <c r="V1795" s="2"/>
      <c r="W1795" s="2"/>
      <c r="X1795" s="2"/>
      <c r="Y1795" s="2"/>
      <c r="Z1795" s="2"/>
      <c r="AA1795" s="2"/>
    </row>
    <row r="1796" spans="21:27" ht="20.100000000000001" customHeight="1" x14ac:dyDescent="0.2">
      <c r="U1796" s="2"/>
      <c r="V1796" s="2"/>
      <c r="W1796" s="2"/>
      <c r="X1796" s="2"/>
      <c r="Y1796" s="2"/>
      <c r="Z1796" s="2"/>
      <c r="AA1796" s="2"/>
    </row>
    <row r="1797" spans="21:27" ht="20.100000000000001" customHeight="1" x14ac:dyDescent="0.2">
      <c r="U1797" s="2"/>
      <c r="V1797" s="2"/>
      <c r="W1797" s="2"/>
      <c r="X1797" s="2"/>
      <c r="Y1797" s="2"/>
      <c r="Z1797" s="2"/>
      <c r="AA1797" s="2"/>
    </row>
    <row r="1798" spans="21:27" ht="20.100000000000001" customHeight="1" x14ac:dyDescent="0.2">
      <c r="U1798" s="2"/>
      <c r="V1798" s="2"/>
      <c r="W1798" s="2"/>
      <c r="X1798" s="2"/>
      <c r="Y1798" s="2"/>
      <c r="Z1798" s="2"/>
      <c r="AA1798" s="2"/>
    </row>
    <row r="1799" spans="21:27" ht="20.100000000000001" customHeight="1" x14ac:dyDescent="0.2">
      <c r="U1799" s="2"/>
      <c r="V1799" s="2"/>
      <c r="W1799" s="2"/>
      <c r="X1799" s="2"/>
      <c r="Y1799" s="2"/>
      <c r="Z1799" s="2"/>
      <c r="AA1799" s="2"/>
    </row>
    <row r="1800" spans="21:27" ht="20.100000000000001" customHeight="1" x14ac:dyDescent="0.2">
      <c r="U1800" s="2"/>
      <c r="V1800" s="2"/>
      <c r="W1800" s="2"/>
      <c r="X1800" s="2"/>
      <c r="Y1800" s="2"/>
      <c r="Z1800" s="2"/>
      <c r="AA1800" s="2"/>
    </row>
    <row r="1801" spans="21:27" ht="20.100000000000001" customHeight="1" x14ac:dyDescent="0.2">
      <c r="U1801" s="2"/>
      <c r="V1801" s="2"/>
      <c r="W1801" s="2"/>
      <c r="X1801" s="2"/>
      <c r="Y1801" s="2"/>
      <c r="Z1801" s="2"/>
      <c r="AA1801" s="2"/>
    </row>
    <row r="1802" spans="21:27" ht="20.100000000000001" customHeight="1" x14ac:dyDescent="0.2">
      <c r="U1802" s="2"/>
      <c r="V1802" s="2"/>
      <c r="W1802" s="2"/>
      <c r="X1802" s="2"/>
      <c r="Y1802" s="2"/>
      <c r="Z1802" s="2"/>
      <c r="AA1802" s="2"/>
    </row>
    <row r="1803" spans="21:27" ht="20.100000000000001" customHeight="1" x14ac:dyDescent="0.2">
      <c r="U1803" s="2"/>
      <c r="V1803" s="2"/>
      <c r="W1803" s="2"/>
      <c r="X1803" s="2"/>
      <c r="Y1803" s="2"/>
      <c r="Z1803" s="2"/>
      <c r="AA1803" s="2"/>
    </row>
    <row r="1804" spans="21:27" ht="20.100000000000001" customHeight="1" x14ac:dyDescent="0.2">
      <c r="U1804" s="2"/>
      <c r="V1804" s="2"/>
      <c r="W1804" s="2"/>
      <c r="X1804" s="2"/>
      <c r="Y1804" s="2"/>
      <c r="Z1804" s="2"/>
      <c r="AA1804" s="2"/>
    </row>
    <row r="1805" spans="21:27" ht="20.100000000000001" customHeight="1" x14ac:dyDescent="0.2">
      <c r="U1805" s="2"/>
      <c r="V1805" s="2"/>
      <c r="W1805" s="2"/>
      <c r="X1805" s="2"/>
      <c r="Y1805" s="2"/>
      <c r="Z1805" s="2"/>
      <c r="AA1805" s="2"/>
    </row>
    <row r="1806" spans="21:27" ht="20.100000000000001" customHeight="1" x14ac:dyDescent="0.2">
      <c r="U1806" s="2"/>
      <c r="V1806" s="2"/>
      <c r="W1806" s="2"/>
      <c r="X1806" s="2"/>
      <c r="Y1806" s="2"/>
      <c r="Z1806" s="2"/>
      <c r="AA1806" s="2"/>
    </row>
    <row r="1807" spans="21:27" ht="20.100000000000001" customHeight="1" x14ac:dyDescent="0.2">
      <c r="U1807" s="2"/>
      <c r="V1807" s="2"/>
      <c r="W1807" s="2"/>
      <c r="X1807" s="2"/>
      <c r="Y1807" s="2"/>
      <c r="Z1807" s="2"/>
      <c r="AA1807" s="2"/>
    </row>
    <row r="1808" spans="21:27" ht="20.100000000000001" customHeight="1" x14ac:dyDescent="0.2">
      <c r="U1808" s="2"/>
      <c r="V1808" s="2"/>
      <c r="W1808" s="2"/>
      <c r="X1808" s="2"/>
      <c r="Y1808" s="2"/>
      <c r="Z1808" s="2"/>
      <c r="AA1808" s="2"/>
    </row>
    <row r="1809" spans="21:27" ht="20.100000000000001" customHeight="1" x14ac:dyDescent="0.2">
      <c r="U1809" s="2"/>
      <c r="V1809" s="2"/>
      <c r="W1809" s="2"/>
      <c r="X1809" s="2"/>
      <c r="Y1809" s="2"/>
      <c r="Z1809" s="2"/>
      <c r="AA1809" s="2"/>
    </row>
    <row r="1810" spans="21:27" ht="20.100000000000001" customHeight="1" x14ac:dyDescent="0.2">
      <c r="U1810" s="2"/>
      <c r="V1810" s="2"/>
      <c r="W1810" s="2"/>
      <c r="X1810" s="2"/>
      <c r="Y1810" s="2"/>
      <c r="Z1810" s="2"/>
      <c r="AA1810" s="2"/>
    </row>
    <row r="1811" spans="21:27" ht="20.100000000000001" customHeight="1" x14ac:dyDescent="0.2">
      <c r="U1811" s="2"/>
      <c r="V1811" s="2"/>
      <c r="W1811" s="2"/>
      <c r="X1811" s="2"/>
      <c r="Y1811" s="2"/>
      <c r="Z1811" s="2"/>
      <c r="AA1811" s="2"/>
    </row>
    <row r="1812" spans="21:27" ht="20.100000000000001" customHeight="1" x14ac:dyDescent="0.2">
      <c r="U1812" s="2"/>
      <c r="V1812" s="2"/>
      <c r="W1812" s="2"/>
      <c r="X1812" s="2"/>
      <c r="Y1812" s="2"/>
      <c r="Z1812" s="2"/>
      <c r="AA1812" s="2"/>
    </row>
    <row r="1813" spans="21:27" ht="20.100000000000001" customHeight="1" x14ac:dyDescent="0.2">
      <c r="U1813" s="2"/>
      <c r="V1813" s="2"/>
      <c r="W1813" s="2"/>
      <c r="X1813" s="2"/>
      <c r="Y1813" s="2"/>
      <c r="Z1813" s="2"/>
      <c r="AA1813" s="2"/>
    </row>
    <row r="1814" spans="21:27" ht="20.100000000000001" customHeight="1" x14ac:dyDescent="0.2">
      <c r="U1814" s="2"/>
      <c r="V1814" s="2"/>
      <c r="W1814" s="2"/>
      <c r="X1814" s="2"/>
      <c r="Y1814" s="2"/>
      <c r="Z1814" s="2"/>
      <c r="AA1814" s="2"/>
    </row>
    <row r="1815" spans="21:27" ht="20.100000000000001" customHeight="1" x14ac:dyDescent="0.2">
      <c r="U1815" s="2"/>
      <c r="V1815" s="2"/>
      <c r="W1815" s="2"/>
      <c r="X1815" s="2"/>
      <c r="Y1815" s="2"/>
      <c r="Z1815" s="2"/>
      <c r="AA1815" s="2"/>
    </row>
    <row r="1816" spans="21:27" ht="20.100000000000001" customHeight="1" x14ac:dyDescent="0.2">
      <c r="U1816" s="2"/>
      <c r="V1816" s="2"/>
      <c r="W1816" s="2"/>
      <c r="X1816" s="2"/>
      <c r="Y1816" s="2"/>
      <c r="Z1816" s="2"/>
      <c r="AA1816" s="2"/>
    </row>
    <row r="1817" spans="21:27" ht="20.100000000000001" customHeight="1" x14ac:dyDescent="0.2">
      <c r="U1817" s="2"/>
      <c r="V1817" s="2"/>
      <c r="W1817" s="2"/>
      <c r="X1817" s="2"/>
      <c r="Y1817" s="2"/>
      <c r="Z1817" s="2"/>
      <c r="AA1817" s="2"/>
    </row>
    <row r="1818" spans="21:27" ht="20.100000000000001" customHeight="1" x14ac:dyDescent="0.2">
      <c r="U1818" s="2"/>
      <c r="V1818" s="2"/>
      <c r="W1818" s="2"/>
      <c r="X1818" s="2"/>
      <c r="Y1818" s="2"/>
      <c r="Z1818" s="2"/>
      <c r="AA1818" s="2"/>
    </row>
    <row r="1819" spans="21:27" ht="20.100000000000001" customHeight="1" x14ac:dyDescent="0.2">
      <c r="U1819" s="2"/>
      <c r="V1819" s="2"/>
      <c r="W1819" s="2"/>
      <c r="X1819" s="2"/>
      <c r="Y1819" s="2"/>
      <c r="Z1819" s="2"/>
      <c r="AA1819" s="2"/>
    </row>
    <row r="1820" spans="21:27" ht="20.100000000000001" customHeight="1" x14ac:dyDescent="0.2">
      <c r="U1820" s="2"/>
      <c r="V1820" s="2"/>
      <c r="W1820" s="2"/>
      <c r="X1820" s="2"/>
      <c r="Y1820" s="2"/>
      <c r="Z1820" s="2"/>
      <c r="AA1820" s="2"/>
    </row>
    <row r="1821" spans="21:27" ht="20.100000000000001" customHeight="1" x14ac:dyDescent="0.2">
      <c r="U1821" s="2"/>
      <c r="V1821" s="2"/>
      <c r="W1821" s="2"/>
      <c r="X1821" s="2"/>
      <c r="Y1821" s="2"/>
      <c r="Z1821" s="2"/>
      <c r="AA1821" s="2"/>
    </row>
    <row r="1822" spans="21:27" ht="20.100000000000001" customHeight="1" x14ac:dyDescent="0.2">
      <c r="U1822" s="2"/>
      <c r="V1822" s="2"/>
      <c r="W1822" s="2"/>
      <c r="X1822" s="2"/>
      <c r="Y1822" s="2"/>
      <c r="Z1822" s="2"/>
      <c r="AA1822" s="2"/>
    </row>
    <row r="1823" spans="21:27" ht="20.100000000000001" customHeight="1" x14ac:dyDescent="0.2">
      <c r="U1823" s="2"/>
      <c r="V1823" s="2"/>
      <c r="W1823" s="2"/>
      <c r="X1823" s="2"/>
      <c r="Y1823" s="2"/>
      <c r="Z1823" s="2"/>
      <c r="AA1823" s="2"/>
    </row>
    <row r="1824" spans="21:27" ht="20.100000000000001" customHeight="1" x14ac:dyDescent="0.2">
      <c r="U1824" s="2"/>
      <c r="V1824" s="2"/>
      <c r="W1824" s="2"/>
      <c r="X1824" s="2"/>
      <c r="Y1824" s="2"/>
      <c r="Z1824" s="2"/>
      <c r="AA1824" s="2"/>
    </row>
    <row r="1825" spans="21:27" ht="20.100000000000001" customHeight="1" x14ac:dyDescent="0.2">
      <c r="U1825" s="2"/>
      <c r="V1825" s="2"/>
      <c r="W1825" s="2"/>
      <c r="X1825" s="2"/>
      <c r="Y1825" s="2"/>
      <c r="Z1825" s="2"/>
      <c r="AA1825" s="2"/>
    </row>
    <row r="1826" spans="21:27" ht="20.100000000000001" customHeight="1" x14ac:dyDescent="0.2">
      <c r="U1826" s="2"/>
      <c r="V1826" s="2"/>
      <c r="W1826" s="2"/>
      <c r="X1826" s="2"/>
      <c r="Y1826" s="2"/>
      <c r="Z1826" s="2"/>
      <c r="AA1826" s="2"/>
    </row>
    <row r="1827" spans="21:27" ht="20.100000000000001" customHeight="1" x14ac:dyDescent="0.2">
      <c r="U1827" s="2"/>
      <c r="V1827" s="2"/>
      <c r="W1827" s="2"/>
      <c r="X1827" s="2"/>
      <c r="Y1827" s="2"/>
      <c r="Z1827" s="2"/>
      <c r="AA1827" s="2"/>
    </row>
    <row r="1828" spans="21:27" ht="20.100000000000001" customHeight="1" x14ac:dyDescent="0.2">
      <c r="U1828" s="2"/>
      <c r="V1828" s="2"/>
      <c r="W1828" s="2"/>
      <c r="X1828" s="2"/>
      <c r="Y1828" s="2"/>
      <c r="Z1828" s="2"/>
      <c r="AA1828" s="2"/>
    </row>
    <row r="1829" spans="21:27" ht="20.100000000000001" customHeight="1" x14ac:dyDescent="0.2">
      <c r="U1829" s="2"/>
      <c r="V1829" s="2"/>
      <c r="W1829" s="2"/>
      <c r="X1829" s="2"/>
      <c r="Y1829" s="2"/>
      <c r="Z1829" s="2"/>
      <c r="AA1829" s="2"/>
    </row>
    <row r="1830" spans="21:27" ht="20.100000000000001" customHeight="1" x14ac:dyDescent="0.2">
      <c r="U1830" s="2"/>
      <c r="V1830" s="2"/>
      <c r="W1830" s="2"/>
      <c r="X1830" s="2"/>
      <c r="Y1830" s="2"/>
      <c r="Z1830" s="2"/>
      <c r="AA1830" s="2"/>
    </row>
    <row r="1831" spans="21:27" ht="20.100000000000001" customHeight="1" x14ac:dyDescent="0.2">
      <c r="U1831" s="2"/>
      <c r="V1831" s="2"/>
      <c r="W1831" s="2"/>
      <c r="X1831" s="2"/>
      <c r="Y1831" s="2"/>
      <c r="Z1831" s="2"/>
      <c r="AA1831" s="2"/>
    </row>
    <row r="1832" spans="21:27" ht="20.100000000000001" customHeight="1" x14ac:dyDescent="0.2">
      <c r="U1832" s="2"/>
      <c r="V1832" s="2"/>
      <c r="W1832" s="2"/>
      <c r="X1832" s="2"/>
      <c r="Y1832" s="2"/>
      <c r="Z1832" s="2"/>
      <c r="AA1832" s="2"/>
    </row>
    <row r="1833" spans="21:27" ht="20.100000000000001" customHeight="1" x14ac:dyDescent="0.2">
      <c r="U1833" s="2"/>
      <c r="V1833" s="2"/>
      <c r="W1833" s="2"/>
      <c r="X1833" s="2"/>
      <c r="Y1833" s="2"/>
      <c r="Z1833" s="2"/>
      <c r="AA1833" s="2"/>
    </row>
    <row r="1834" spans="21:27" ht="20.100000000000001" customHeight="1" x14ac:dyDescent="0.2">
      <c r="U1834" s="2"/>
      <c r="V1834" s="2"/>
      <c r="W1834" s="2"/>
      <c r="X1834" s="2"/>
      <c r="Y1834" s="2"/>
      <c r="Z1834" s="2"/>
      <c r="AA1834" s="2"/>
    </row>
    <row r="1835" spans="21:27" ht="20.100000000000001" customHeight="1" x14ac:dyDescent="0.2">
      <c r="U1835" s="2"/>
      <c r="V1835" s="2"/>
      <c r="W1835" s="2"/>
      <c r="X1835" s="2"/>
      <c r="Y1835" s="2"/>
      <c r="Z1835" s="2"/>
      <c r="AA1835" s="2"/>
    </row>
    <row r="1836" spans="21:27" ht="20.100000000000001" customHeight="1" x14ac:dyDescent="0.2">
      <c r="U1836" s="2"/>
      <c r="V1836" s="2"/>
      <c r="W1836" s="2"/>
      <c r="X1836" s="2"/>
      <c r="Y1836" s="2"/>
      <c r="Z1836" s="2"/>
      <c r="AA1836" s="2"/>
    </row>
    <row r="1837" spans="21:27" ht="20.100000000000001" customHeight="1" x14ac:dyDescent="0.2">
      <c r="U1837" s="2"/>
      <c r="V1837" s="2"/>
      <c r="W1837" s="2"/>
      <c r="X1837" s="2"/>
      <c r="Y1837" s="2"/>
      <c r="Z1837" s="2"/>
      <c r="AA1837" s="2"/>
    </row>
    <row r="1838" spans="21:27" ht="20.100000000000001" customHeight="1" x14ac:dyDescent="0.2">
      <c r="U1838" s="2"/>
      <c r="V1838" s="2"/>
      <c r="W1838" s="2"/>
      <c r="X1838" s="2"/>
      <c r="Y1838" s="2"/>
      <c r="Z1838" s="2"/>
      <c r="AA1838" s="2"/>
    </row>
    <row r="1839" spans="21:27" ht="20.100000000000001" customHeight="1" x14ac:dyDescent="0.2">
      <c r="U1839" s="2"/>
      <c r="V1839" s="2"/>
      <c r="W1839" s="2"/>
      <c r="X1839" s="2"/>
      <c r="Y1839" s="2"/>
      <c r="Z1839" s="2"/>
      <c r="AA1839" s="2"/>
    </row>
    <row r="1840" spans="21:27" ht="20.100000000000001" customHeight="1" x14ac:dyDescent="0.2">
      <c r="U1840" s="2"/>
      <c r="V1840" s="2"/>
      <c r="W1840" s="2"/>
      <c r="X1840" s="2"/>
      <c r="Y1840" s="2"/>
      <c r="Z1840" s="2"/>
      <c r="AA1840" s="2"/>
    </row>
    <row r="1841" spans="21:27" ht="20.100000000000001" customHeight="1" x14ac:dyDescent="0.2">
      <c r="U1841" s="2"/>
      <c r="V1841" s="2"/>
      <c r="W1841" s="2"/>
      <c r="X1841" s="2"/>
      <c r="Y1841" s="2"/>
      <c r="Z1841" s="2"/>
      <c r="AA1841" s="2"/>
    </row>
    <row r="1842" spans="21:27" ht="20.100000000000001" customHeight="1" x14ac:dyDescent="0.2">
      <c r="U1842" s="2"/>
      <c r="V1842" s="2"/>
      <c r="W1842" s="2"/>
      <c r="X1842" s="2"/>
      <c r="Y1842" s="2"/>
      <c r="Z1842" s="2"/>
      <c r="AA1842" s="2"/>
    </row>
    <row r="1843" spans="21:27" ht="20.100000000000001" customHeight="1" x14ac:dyDescent="0.2">
      <c r="U1843" s="2"/>
      <c r="V1843" s="2"/>
      <c r="W1843" s="2"/>
      <c r="X1843" s="2"/>
      <c r="Y1843" s="2"/>
      <c r="Z1843" s="2"/>
      <c r="AA1843" s="2"/>
    </row>
    <row r="1844" spans="21:27" ht="20.100000000000001" customHeight="1" x14ac:dyDescent="0.2">
      <c r="U1844" s="2"/>
      <c r="V1844" s="2"/>
      <c r="W1844" s="2"/>
      <c r="X1844" s="2"/>
      <c r="Y1844" s="2"/>
      <c r="Z1844" s="2"/>
      <c r="AA1844" s="2"/>
    </row>
    <row r="1845" spans="21:27" ht="20.100000000000001" customHeight="1" x14ac:dyDescent="0.2">
      <c r="U1845" s="2"/>
      <c r="V1845" s="2"/>
      <c r="W1845" s="2"/>
      <c r="X1845" s="2"/>
      <c r="Y1845" s="2"/>
      <c r="Z1845" s="2"/>
      <c r="AA1845" s="2"/>
    </row>
    <row r="1846" spans="21:27" ht="20.100000000000001" customHeight="1" x14ac:dyDescent="0.2">
      <c r="U1846" s="2"/>
      <c r="V1846" s="2"/>
      <c r="W1846" s="2"/>
      <c r="X1846" s="2"/>
      <c r="Y1846" s="2"/>
      <c r="Z1846" s="2"/>
      <c r="AA1846" s="2"/>
    </row>
    <row r="1847" spans="21:27" ht="20.100000000000001" customHeight="1" x14ac:dyDescent="0.2">
      <c r="U1847" s="2"/>
      <c r="V1847" s="2"/>
      <c r="W1847" s="2"/>
      <c r="X1847" s="2"/>
      <c r="Y1847" s="2"/>
      <c r="Z1847" s="2"/>
      <c r="AA1847" s="2"/>
    </row>
    <row r="1848" spans="21:27" ht="20.100000000000001" customHeight="1" x14ac:dyDescent="0.2">
      <c r="U1848" s="2"/>
      <c r="V1848" s="2"/>
      <c r="W1848" s="2"/>
      <c r="X1848" s="2"/>
      <c r="Y1848" s="2"/>
      <c r="Z1848" s="2"/>
      <c r="AA1848" s="2"/>
    </row>
    <row r="1849" spans="21:27" ht="20.100000000000001" customHeight="1" x14ac:dyDescent="0.2">
      <c r="U1849" s="2"/>
      <c r="V1849" s="2"/>
      <c r="W1849" s="2"/>
      <c r="X1849" s="2"/>
      <c r="Y1849" s="2"/>
      <c r="Z1849" s="2"/>
      <c r="AA1849" s="2"/>
    </row>
    <row r="1850" spans="21:27" ht="20.100000000000001" customHeight="1" x14ac:dyDescent="0.2">
      <c r="U1850" s="2"/>
      <c r="V1850" s="2"/>
      <c r="W1850" s="2"/>
      <c r="X1850" s="2"/>
      <c r="Y1850" s="2"/>
      <c r="Z1850" s="2"/>
      <c r="AA1850" s="2"/>
    </row>
    <row r="1851" spans="21:27" ht="20.100000000000001" customHeight="1" x14ac:dyDescent="0.2">
      <c r="U1851" s="2"/>
      <c r="V1851" s="2"/>
      <c r="W1851" s="2"/>
      <c r="X1851" s="2"/>
      <c r="Y1851" s="2"/>
      <c r="Z1851" s="2"/>
      <c r="AA1851" s="2"/>
    </row>
    <row r="1852" spans="21:27" ht="20.100000000000001" customHeight="1" x14ac:dyDescent="0.2">
      <c r="U1852" s="2"/>
      <c r="V1852" s="2"/>
      <c r="W1852" s="2"/>
      <c r="X1852" s="2"/>
      <c r="Y1852" s="2"/>
      <c r="Z1852" s="2"/>
      <c r="AA1852" s="2"/>
    </row>
    <row r="1853" spans="21:27" ht="20.100000000000001" customHeight="1" x14ac:dyDescent="0.2">
      <c r="U1853" s="2"/>
      <c r="V1853" s="2"/>
      <c r="W1853" s="2"/>
      <c r="X1853" s="2"/>
      <c r="Y1853" s="2"/>
      <c r="Z1853" s="2"/>
      <c r="AA1853" s="2"/>
    </row>
    <row r="1854" spans="21:27" ht="20.100000000000001" customHeight="1" x14ac:dyDescent="0.2">
      <c r="U1854" s="2"/>
      <c r="V1854" s="2"/>
      <c r="W1854" s="2"/>
      <c r="X1854" s="2"/>
      <c r="Y1854" s="2"/>
      <c r="Z1854" s="2"/>
      <c r="AA1854" s="2"/>
    </row>
    <row r="1855" spans="21:27" ht="20.100000000000001" customHeight="1" x14ac:dyDescent="0.2">
      <c r="U1855" s="2"/>
      <c r="V1855" s="2"/>
      <c r="W1855" s="2"/>
      <c r="X1855" s="2"/>
      <c r="Y1855" s="2"/>
      <c r="Z1855" s="2"/>
      <c r="AA1855" s="2"/>
    </row>
    <row r="1856" spans="21:27" ht="20.100000000000001" customHeight="1" x14ac:dyDescent="0.2">
      <c r="U1856" s="2"/>
      <c r="V1856" s="2"/>
      <c r="W1856" s="2"/>
      <c r="X1856" s="2"/>
      <c r="Y1856" s="2"/>
      <c r="Z1856" s="2"/>
      <c r="AA1856" s="2"/>
    </row>
    <row r="1857" spans="21:27" ht="20.100000000000001" customHeight="1" x14ac:dyDescent="0.2">
      <c r="U1857" s="2"/>
      <c r="V1857" s="2"/>
      <c r="W1857" s="2"/>
      <c r="X1857" s="2"/>
      <c r="Y1857" s="2"/>
      <c r="Z1857" s="2"/>
      <c r="AA1857" s="2"/>
    </row>
    <row r="1858" spans="21:27" ht="20.100000000000001" customHeight="1" x14ac:dyDescent="0.2">
      <c r="U1858" s="2"/>
      <c r="V1858" s="2"/>
      <c r="W1858" s="2"/>
      <c r="X1858" s="2"/>
      <c r="Y1858" s="2"/>
      <c r="Z1858" s="2"/>
      <c r="AA1858" s="2"/>
    </row>
    <row r="1859" spans="21:27" ht="20.100000000000001" customHeight="1" x14ac:dyDescent="0.2">
      <c r="U1859" s="2"/>
      <c r="V1859" s="2"/>
      <c r="W1859" s="2"/>
      <c r="X1859" s="2"/>
      <c r="Y1859" s="2"/>
      <c r="Z1859" s="2"/>
      <c r="AA1859" s="2"/>
    </row>
    <row r="1860" spans="21:27" ht="20.100000000000001" customHeight="1" x14ac:dyDescent="0.2">
      <c r="U1860" s="2"/>
      <c r="V1860" s="2"/>
      <c r="W1860" s="2"/>
      <c r="X1860" s="2"/>
      <c r="Y1860" s="2"/>
      <c r="Z1860" s="2"/>
      <c r="AA1860" s="2"/>
    </row>
    <row r="1861" spans="21:27" ht="20.100000000000001" customHeight="1" x14ac:dyDescent="0.2">
      <c r="U1861" s="2"/>
      <c r="V1861" s="2"/>
      <c r="W1861" s="2"/>
      <c r="X1861" s="2"/>
      <c r="Y1861" s="2"/>
      <c r="Z1861" s="2"/>
      <c r="AA1861" s="2"/>
    </row>
    <row r="1862" spans="21:27" ht="20.100000000000001" customHeight="1" x14ac:dyDescent="0.2">
      <c r="U1862" s="2"/>
      <c r="V1862" s="2"/>
      <c r="W1862" s="2"/>
      <c r="X1862" s="2"/>
      <c r="Y1862" s="2"/>
      <c r="Z1862" s="2"/>
      <c r="AA1862" s="2"/>
    </row>
    <row r="1863" spans="21:27" ht="20.100000000000001" customHeight="1" x14ac:dyDescent="0.2">
      <c r="U1863" s="2"/>
      <c r="V1863" s="2"/>
      <c r="W1863" s="2"/>
      <c r="X1863" s="2"/>
      <c r="Y1863" s="2"/>
      <c r="Z1863" s="2"/>
      <c r="AA1863" s="2"/>
    </row>
    <row r="1864" spans="21:27" ht="20.100000000000001" customHeight="1" x14ac:dyDescent="0.2">
      <c r="U1864" s="2"/>
      <c r="V1864" s="2"/>
      <c r="W1864" s="2"/>
      <c r="X1864" s="2"/>
      <c r="Y1864" s="2"/>
      <c r="Z1864" s="2"/>
      <c r="AA1864" s="2"/>
    </row>
    <row r="1865" spans="21:27" ht="20.100000000000001" customHeight="1" x14ac:dyDescent="0.2">
      <c r="U1865" s="2"/>
      <c r="V1865" s="2"/>
      <c r="W1865" s="2"/>
      <c r="X1865" s="2"/>
      <c r="Y1865" s="2"/>
      <c r="Z1865" s="2"/>
      <c r="AA1865" s="2"/>
    </row>
    <row r="1866" spans="21:27" ht="20.100000000000001" customHeight="1" x14ac:dyDescent="0.2">
      <c r="U1866" s="2"/>
      <c r="V1866" s="2"/>
      <c r="W1866" s="2"/>
      <c r="X1866" s="2"/>
      <c r="Y1866" s="2"/>
      <c r="Z1866" s="2"/>
      <c r="AA1866" s="2"/>
    </row>
    <row r="1867" spans="21:27" ht="20.100000000000001" customHeight="1" x14ac:dyDescent="0.2">
      <c r="U1867" s="2"/>
      <c r="V1867" s="2"/>
      <c r="W1867" s="2"/>
      <c r="X1867" s="2"/>
      <c r="Y1867" s="2"/>
      <c r="Z1867" s="2"/>
      <c r="AA1867" s="2"/>
    </row>
    <row r="1868" spans="21:27" ht="20.100000000000001" customHeight="1" x14ac:dyDescent="0.2">
      <c r="U1868" s="2"/>
      <c r="V1868" s="2"/>
      <c r="W1868" s="2"/>
      <c r="X1868" s="2"/>
      <c r="Y1868" s="2"/>
      <c r="Z1868" s="2"/>
      <c r="AA1868" s="2"/>
    </row>
    <row r="1869" spans="21:27" ht="20.100000000000001" customHeight="1" x14ac:dyDescent="0.2">
      <c r="U1869" s="2"/>
      <c r="V1869" s="2"/>
      <c r="W1869" s="2"/>
      <c r="X1869" s="2"/>
      <c r="Y1869" s="2"/>
      <c r="Z1869" s="2"/>
      <c r="AA1869" s="2"/>
    </row>
    <row r="1870" spans="21:27" ht="20.100000000000001" customHeight="1" x14ac:dyDescent="0.2">
      <c r="U1870" s="2"/>
      <c r="V1870" s="2"/>
      <c r="W1870" s="2"/>
      <c r="X1870" s="2"/>
      <c r="Y1870" s="2"/>
      <c r="Z1870" s="2"/>
      <c r="AA1870" s="2"/>
    </row>
    <row r="1871" spans="21:27" ht="20.100000000000001" customHeight="1" x14ac:dyDescent="0.2">
      <c r="U1871" s="2"/>
      <c r="V1871" s="2"/>
      <c r="W1871" s="2"/>
      <c r="X1871" s="2"/>
      <c r="Y1871" s="2"/>
      <c r="Z1871" s="2"/>
      <c r="AA1871" s="2"/>
    </row>
    <row r="1872" spans="21:27" ht="20.100000000000001" customHeight="1" x14ac:dyDescent="0.2">
      <c r="U1872" s="2"/>
      <c r="V1872" s="2"/>
      <c r="W1872" s="2"/>
      <c r="X1872" s="2"/>
      <c r="Y1872" s="2"/>
      <c r="Z1872" s="2"/>
      <c r="AA1872" s="2"/>
    </row>
    <row r="1873" spans="21:27" ht="20.100000000000001" customHeight="1" x14ac:dyDescent="0.2">
      <c r="U1873" s="2"/>
      <c r="V1873" s="2"/>
      <c r="W1873" s="2"/>
      <c r="X1873" s="2"/>
      <c r="Y1873" s="2"/>
      <c r="Z1873" s="2"/>
      <c r="AA1873" s="2"/>
    </row>
    <row r="1874" spans="21:27" ht="20.100000000000001" customHeight="1" x14ac:dyDescent="0.2">
      <c r="U1874" s="2"/>
      <c r="V1874" s="2"/>
      <c r="W1874" s="2"/>
      <c r="X1874" s="2"/>
      <c r="Y1874" s="2"/>
      <c r="Z1874" s="2"/>
      <c r="AA1874" s="2"/>
    </row>
    <row r="1875" spans="21:27" ht="20.100000000000001" customHeight="1" x14ac:dyDescent="0.2">
      <c r="U1875" s="2"/>
      <c r="V1875" s="2"/>
      <c r="W1875" s="2"/>
      <c r="X1875" s="2"/>
      <c r="Y1875" s="2"/>
      <c r="Z1875" s="2"/>
      <c r="AA1875" s="2"/>
    </row>
    <row r="1876" spans="21:27" ht="20.100000000000001" customHeight="1" x14ac:dyDescent="0.2">
      <c r="U1876" s="2"/>
      <c r="V1876" s="2"/>
      <c r="W1876" s="2"/>
      <c r="X1876" s="2"/>
      <c r="Y1876" s="2"/>
      <c r="Z1876" s="2"/>
      <c r="AA1876" s="2"/>
    </row>
    <row r="1877" spans="21:27" ht="20.100000000000001" customHeight="1" x14ac:dyDescent="0.2">
      <c r="U1877" s="2"/>
      <c r="V1877" s="2"/>
      <c r="W1877" s="2"/>
      <c r="X1877" s="2"/>
      <c r="Y1877" s="2"/>
      <c r="Z1877" s="2"/>
      <c r="AA1877" s="2"/>
    </row>
    <row r="1878" spans="21:27" ht="20.100000000000001" customHeight="1" x14ac:dyDescent="0.2">
      <c r="U1878" s="2"/>
      <c r="V1878" s="2"/>
      <c r="W1878" s="2"/>
      <c r="X1878" s="2"/>
      <c r="Y1878" s="2"/>
      <c r="Z1878" s="2"/>
      <c r="AA1878" s="2"/>
    </row>
    <row r="1879" spans="21:27" ht="20.100000000000001" customHeight="1" x14ac:dyDescent="0.2">
      <c r="U1879" s="2"/>
      <c r="V1879" s="2"/>
      <c r="W1879" s="2"/>
      <c r="X1879" s="2"/>
      <c r="Y1879" s="2"/>
      <c r="Z1879" s="2"/>
      <c r="AA1879" s="2"/>
    </row>
    <row r="1880" spans="21:27" ht="20.100000000000001" customHeight="1" x14ac:dyDescent="0.2">
      <c r="U1880" s="2"/>
      <c r="V1880" s="2"/>
      <c r="W1880" s="2"/>
      <c r="X1880" s="2"/>
      <c r="Y1880" s="2"/>
      <c r="Z1880" s="2"/>
      <c r="AA1880" s="2"/>
    </row>
    <row r="1881" spans="21:27" ht="20.100000000000001" customHeight="1" x14ac:dyDescent="0.2">
      <c r="U1881" s="2"/>
      <c r="V1881" s="2"/>
      <c r="W1881" s="2"/>
      <c r="X1881" s="2"/>
      <c r="Y1881" s="2"/>
      <c r="Z1881" s="2"/>
      <c r="AA1881" s="2"/>
    </row>
    <row r="1882" spans="21:27" ht="20.100000000000001" customHeight="1" x14ac:dyDescent="0.2">
      <c r="U1882" s="2"/>
      <c r="V1882" s="2"/>
      <c r="W1882" s="2"/>
      <c r="X1882" s="2"/>
      <c r="Y1882" s="2"/>
      <c r="Z1882" s="2"/>
      <c r="AA1882" s="2"/>
    </row>
    <row r="1883" spans="21:27" ht="20.100000000000001" customHeight="1" x14ac:dyDescent="0.2">
      <c r="U1883" s="2"/>
      <c r="V1883" s="2"/>
      <c r="W1883" s="2"/>
      <c r="X1883" s="2"/>
      <c r="Y1883" s="2"/>
      <c r="Z1883" s="2"/>
      <c r="AA1883" s="2"/>
    </row>
    <row r="1884" spans="21:27" ht="20.100000000000001" customHeight="1" x14ac:dyDescent="0.2">
      <c r="U1884" s="2"/>
      <c r="V1884" s="2"/>
      <c r="W1884" s="2"/>
      <c r="X1884" s="2"/>
      <c r="Y1884" s="2"/>
      <c r="Z1884" s="2"/>
      <c r="AA1884" s="2"/>
    </row>
    <row r="1885" spans="21:27" ht="20.100000000000001" customHeight="1" x14ac:dyDescent="0.2">
      <c r="U1885" s="2"/>
      <c r="V1885" s="2"/>
      <c r="W1885" s="2"/>
      <c r="X1885" s="2"/>
      <c r="Y1885" s="2"/>
      <c r="Z1885" s="2"/>
      <c r="AA1885" s="2"/>
    </row>
    <row r="1886" spans="21:27" ht="20.100000000000001" customHeight="1" x14ac:dyDescent="0.2">
      <c r="U1886" s="2"/>
      <c r="V1886" s="2"/>
      <c r="W1886" s="2"/>
      <c r="X1886" s="2"/>
      <c r="Y1886" s="2"/>
      <c r="Z1886" s="2"/>
      <c r="AA1886" s="2"/>
    </row>
    <row r="1887" spans="21:27" ht="20.100000000000001" customHeight="1" x14ac:dyDescent="0.2">
      <c r="U1887" s="2"/>
      <c r="V1887" s="2"/>
      <c r="W1887" s="2"/>
      <c r="X1887" s="2"/>
      <c r="Y1887" s="2"/>
      <c r="Z1887" s="2"/>
      <c r="AA1887" s="2"/>
    </row>
    <row r="1888" spans="21:27" ht="20.100000000000001" customHeight="1" x14ac:dyDescent="0.2">
      <c r="U1888" s="2"/>
      <c r="V1888" s="2"/>
      <c r="W1888" s="2"/>
      <c r="X1888" s="2"/>
      <c r="Y1888" s="2"/>
      <c r="Z1888" s="2"/>
      <c r="AA1888" s="2"/>
    </row>
    <row r="1889" spans="21:27" ht="20.100000000000001" customHeight="1" x14ac:dyDescent="0.2">
      <c r="U1889" s="2"/>
      <c r="V1889" s="2"/>
      <c r="W1889" s="2"/>
      <c r="X1889" s="2"/>
      <c r="Y1889" s="2"/>
      <c r="Z1889" s="2"/>
      <c r="AA1889" s="2"/>
    </row>
    <row r="1890" spans="21:27" ht="20.100000000000001" customHeight="1" x14ac:dyDescent="0.2">
      <c r="U1890" s="2"/>
      <c r="V1890" s="2"/>
      <c r="W1890" s="2"/>
      <c r="X1890" s="2"/>
      <c r="Y1890" s="2"/>
      <c r="Z1890" s="2"/>
      <c r="AA1890" s="2"/>
    </row>
    <row r="1891" spans="21:27" ht="20.100000000000001" customHeight="1" x14ac:dyDescent="0.2">
      <c r="U1891" s="2"/>
      <c r="V1891" s="2"/>
      <c r="W1891" s="2"/>
      <c r="X1891" s="2"/>
      <c r="Y1891" s="2"/>
      <c r="Z1891" s="2"/>
      <c r="AA1891" s="2"/>
    </row>
    <row r="1892" spans="21:27" ht="20.100000000000001" customHeight="1" x14ac:dyDescent="0.2">
      <c r="U1892" s="2"/>
      <c r="V1892" s="2"/>
      <c r="W1892" s="2"/>
      <c r="X1892" s="2"/>
      <c r="Y1892" s="2"/>
      <c r="Z1892" s="2"/>
      <c r="AA1892" s="2"/>
    </row>
    <row r="1893" spans="21:27" ht="20.100000000000001" customHeight="1" x14ac:dyDescent="0.2">
      <c r="U1893" s="2"/>
      <c r="V1893" s="2"/>
      <c r="W1893" s="2"/>
      <c r="X1893" s="2"/>
      <c r="Y1893" s="2"/>
      <c r="Z1893" s="2"/>
      <c r="AA1893" s="2"/>
    </row>
    <row r="1894" spans="21:27" ht="20.100000000000001" customHeight="1" x14ac:dyDescent="0.2">
      <c r="U1894" s="2"/>
      <c r="V1894" s="2"/>
      <c r="W1894" s="2"/>
      <c r="X1894" s="2"/>
      <c r="Y1894" s="2"/>
      <c r="Z1894" s="2"/>
      <c r="AA1894" s="2"/>
    </row>
    <row r="1895" spans="21:27" ht="20.100000000000001" customHeight="1" x14ac:dyDescent="0.2">
      <c r="U1895" s="2"/>
      <c r="V1895" s="2"/>
      <c r="W1895" s="2"/>
      <c r="X1895" s="2"/>
      <c r="Y1895" s="2"/>
      <c r="Z1895" s="2"/>
      <c r="AA1895" s="2"/>
    </row>
    <row r="1896" spans="21:27" ht="20.100000000000001" customHeight="1" x14ac:dyDescent="0.2">
      <c r="U1896" s="2"/>
      <c r="V1896" s="2"/>
      <c r="W1896" s="2"/>
      <c r="X1896" s="2"/>
      <c r="Y1896" s="2"/>
      <c r="Z1896" s="2"/>
      <c r="AA1896" s="2"/>
    </row>
    <row r="1897" spans="21:27" ht="20.100000000000001" customHeight="1" x14ac:dyDescent="0.2">
      <c r="U1897" s="2"/>
      <c r="V1897" s="2"/>
      <c r="W1897" s="2"/>
      <c r="X1897" s="2"/>
      <c r="Y1897" s="2"/>
      <c r="Z1897" s="2"/>
      <c r="AA1897" s="2"/>
    </row>
    <row r="1898" spans="21:27" ht="20.100000000000001" customHeight="1" x14ac:dyDescent="0.2">
      <c r="U1898" s="2"/>
      <c r="V1898" s="2"/>
      <c r="W1898" s="2"/>
      <c r="X1898" s="2"/>
      <c r="Y1898" s="2"/>
      <c r="Z1898" s="2"/>
      <c r="AA1898" s="2"/>
    </row>
    <row r="1899" spans="21:27" ht="20.100000000000001" customHeight="1" x14ac:dyDescent="0.2">
      <c r="U1899" s="2"/>
      <c r="V1899" s="2"/>
      <c r="W1899" s="2"/>
      <c r="X1899" s="2"/>
      <c r="Y1899" s="2"/>
      <c r="Z1899" s="2"/>
      <c r="AA1899" s="2"/>
    </row>
    <row r="1900" spans="21:27" ht="20.100000000000001" customHeight="1" x14ac:dyDescent="0.2">
      <c r="U1900" s="2"/>
      <c r="V1900" s="2"/>
      <c r="W1900" s="2"/>
      <c r="X1900" s="2"/>
      <c r="Y1900" s="2"/>
      <c r="Z1900" s="2"/>
      <c r="AA1900" s="2"/>
    </row>
    <row r="1901" spans="21:27" ht="20.100000000000001" customHeight="1" x14ac:dyDescent="0.2">
      <c r="U1901" s="2"/>
      <c r="V1901" s="2"/>
      <c r="W1901" s="2"/>
      <c r="X1901" s="2"/>
      <c r="Y1901" s="2"/>
      <c r="Z1901" s="2"/>
      <c r="AA1901" s="2"/>
    </row>
    <row r="1902" spans="21:27" ht="20.100000000000001" customHeight="1" x14ac:dyDescent="0.2">
      <c r="U1902" s="2"/>
      <c r="V1902" s="2"/>
      <c r="W1902" s="2"/>
      <c r="X1902" s="2"/>
      <c r="Y1902" s="2"/>
      <c r="Z1902" s="2"/>
      <c r="AA1902" s="2"/>
    </row>
    <row r="1903" spans="21:27" ht="20.100000000000001" customHeight="1" x14ac:dyDescent="0.2">
      <c r="U1903" s="2"/>
      <c r="V1903" s="2"/>
      <c r="W1903" s="2"/>
      <c r="X1903" s="2"/>
      <c r="Y1903" s="2"/>
      <c r="Z1903" s="2"/>
      <c r="AA1903" s="2"/>
    </row>
    <row r="1904" spans="21:27" ht="20.100000000000001" customHeight="1" x14ac:dyDescent="0.2">
      <c r="U1904" s="2"/>
      <c r="V1904" s="2"/>
      <c r="W1904" s="2"/>
      <c r="X1904" s="2"/>
      <c r="Y1904" s="2"/>
      <c r="Z1904" s="2"/>
      <c r="AA1904" s="2"/>
    </row>
  </sheetData>
  <sheetProtection sort="0" autoFilter="0" pivotTables="0"/>
  <pageMargins left="0.25" right="0.25" top="0.75" bottom="0.75" header="0.3" footer="0.3"/>
  <pageSetup paperSize="9" orientation="landscape" r:id="rId5"/>
  <drawing r:id="rId6"/>
  <legacyDrawing r:id="rId7"/>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2"/>
  </sheetPr>
  <dimension ref="A1:AY228"/>
  <sheetViews>
    <sheetView showGridLines="0" zoomScale="60" zoomScaleNormal="60" workbookViewId="0">
      <selection activeCell="Z151" sqref="Z151"/>
    </sheetView>
  </sheetViews>
  <sheetFormatPr defaultRowHeight="20.25" x14ac:dyDescent="0.3"/>
  <cols>
    <col min="1" max="1" width="9.140625" style="121"/>
    <col min="2" max="2" width="3.42578125" style="121" customWidth="1"/>
    <col min="3" max="3" width="43" style="121" bestFit="1" customWidth="1"/>
    <col min="4" max="8" width="43.7109375" style="121" bestFit="1" customWidth="1"/>
    <col min="9" max="9" width="45.42578125" style="121" bestFit="1" customWidth="1"/>
    <col min="10" max="10" width="41.85546875" style="121" bestFit="1" customWidth="1"/>
    <col min="11" max="11" width="26.7109375" style="121" bestFit="1" customWidth="1"/>
    <col min="12" max="12" width="37.5703125" style="121" bestFit="1" customWidth="1"/>
    <col min="13" max="13" width="41.85546875" style="121" bestFit="1" customWidth="1"/>
    <col min="14" max="15" width="28.140625" style="121" bestFit="1" customWidth="1"/>
    <col min="16" max="17" width="29" style="121" bestFit="1" customWidth="1"/>
    <col min="18" max="18" width="48.140625" style="121" bestFit="1" customWidth="1"/>
    <col min="19" max="19" width="13.5703125" style="85" customWidth="1"/>
    <col min="20" max="20" width="24" style="85" bestFit="1" customWidth="1"/>
    <col min="21" max="21" width="23.28515625" style="85" bestFit="1" customWidth="1"/>
    <col min="22" max="22" width="22.7109375" style="85" bestFit="1" customWidth="1"/>
    <col min="23" max="23" width="24" style="85" bestFit="1" customWidth="1"/>
    <col min="24" max="24" width="23.28515625" style="85" bestFit="1" customWidth="1"/>
    <col min="25" max="25" width="22.7109375" style="85" bestFit="1" customWidth="1"/>
    <col min="26" max="26" width="24" style="85" bestFit="1" customWidth="1"/>
    <col min="27" max="27" width="23.28515625" style="85" bestFit="1" customWidth="1"/>
    <col min="28" max="28" width="3.42578125" style="85" customWidth="1"/>
    <col min="29" max="29" width="30" style="85" bestFit="1" customWidth="1"/>
    <col min="30" max="30" width="29.140625" style="85" bestFit="1" customWidth="1"/>
    <col min="31" max="31" width="5.42578125" style="277" customWidth="1"/>
    <col min="32" max="32" width="25" style="85" customWidth="1"/>
    <col min="33" max="33" width="26.42578125" style="85" bestFit="1" customWidth="1"/>
    <col min="34" max="34" width="41.85546875" style="85" bestFit="1" customWidth="1"/>
    <col min="35" max="35" width="25.5703125" style="85" customWidth="1"/>
    <col min="36" max="39" width="15.85546875" style="85" bestFit="1" customWidth="1"/>
    <col min="40" max="42" width="15.85546875" style="85" customWidth="1"/>
    <col min="43" max="43" width="4.7109375" style="277" customWidth="1"/>
    <col min="44" max="44" width="24" style="85" bestFit="1" customWidth="1"/>
    <col min="45" max="45" width="26.42578125" style="85" bestFit="1" customWidth="1"/>
    <col min="46" max="46" width="41.85546875" style="85" bestFit="1" customWidth="1"/>
    <col min="47" max="47" width="40.7109375" style="85" bestFit="1" customWidth="1"/>
    <col min="48" max="48" width="40" style="85" bestFit="1" customWidth="1"/>
    <col min="49" max="49" width="28.5703125" style="85" bestFit="1" customWidth="1"/>
    <col min="50" max="50" width="30" style="85" bestFit="1" customWidth="1"/>
    <col min="51" max="51" width="29.140625" style="85" bestFit="1" customWidth="1"/>
    <col min="52" max="52" width="30" style="85" bestFit="1" customWidth="1"/>
    <col min="53" max="53" width="29.140625" style="85" bestFit="1" customWidth="1"/>
    <col min="54" max="16384" width="9.140625" style="85"/>
  </cols>
  <sheetData>
    <row r="1" spans="1:50" s="79" customFormat="1" ht="60" x14ac:dyDescent="0.2">
      <c r="A1" s="200"/>
      <c r="B1" s="200"/>
      <c r="C1" s="264" t="s">
        <v>38</v>
      </c>
      <c r="D1" s="200"/>
      <c r="E1" s="200"/>
      <c r="F1" s="200"/>
      <c r="G1" s="200"/>
      <c r="H1" s="200"/>
      <c r="I1" s="200"/>
      <c r="J1" s="200"/>
      <c r="K1" s="200"/>
      <c r="L1" s="200"/>
      <c r="M1" s="200"/>
      <c r="N1" s="200"/>
      <c r="O1" s="200"/>
      <c r="P1" s="200"/>
      <c r="Q1" s="200"/>
      <c r="R1" s="200"/>
      <c r="AE1" s="275"/>
      <c r="AQ1" s="275"/>
    </row>
    <row r="2" spans="1:50" s="11" customFormat="1" x14ac:dyDescent="0.2">
      <c r="A2" s="201"/>
      <c r="B2" s="201"/>
      <c r="C2" s="202" t="s">
        <v>95</v>
      </c>
      <c r="D2" s="201"/>
      <c r="E2" s="201"/>
      <c r="F2" s="203"/>
      <c r="G2" s="204"/>
      <c r="H2" s="204"/>
      <c r="I2" s="204"/>
      <c r="J2" s="204"/>
      <c r="K2" s="204"/>
      <c r="L2" s="204"/>
      <c r="M2" s="204"/>
      <c r="N2" s="204"/>
      <c r="O2" s="204"/>
      <c r="P2" s="201"/>
      <c r="Q2" s="201"/>
      <c r="R2" s="201"/>
      <c r="AE2" s="276"/>
      <c r="AQ2" s="276"/>
    </row>
    <row r="3" spans="1:50" x14ac:dyDescent="0.3">
      <c r="C3" s="121" t="s">
        <v>96</v>
      </c>
    </row>
    <row r="5" spans="1:50" s="196" customFormat="1" x14ac:dyDescent="0.3">
      <c r="A5" s="191"/>
      <c r="B5" s="191"/>
      <c r="C5" s="191"/>
      <c r="D5" s="191"/>
      <c r="E5" s="191"/>
      <c r="F5" s="191"/>
      <c r="G5" s="191"/>
      <c r="H5" s="191"/>
      <c r="I5" s="191"/>
      <c r="J5" s="191"/>
      <c r="K5" s="191"/>
      <c r="L5" s="191"/>
      <c r="M5" s="191"/>
      <c r="N5" s="191"/>
      <c r="O5" s="191"/>
      <c r="P5" s="191"/>
      <c r="Q5" s="191"/>
      <c r="R5" s="191"/>
      <c r="AE5" s="277"/>
      <c r="AQ5" s="277"/>
    </row>
    <row r="6" spans="1:50" s="192" customFormat="1" x14ac:dyDescent="0.3">
      <c r="A6" s="205"/>
      <c r="B6" s="205"/>
      <c r="C6" s="205"/>
      <c r="D6" s="205"/>
      <c r="E6" s="205"/>
      <c r="F6" s="205"/>
      <c r="G6" s="205"/>
      <c r="H6" s="205"/>
      <c r="I6" s="205"/>
      <c r="J6" s="206"/>
      <c r="K6" s="206"/>
      <c r="L6" s="206"/>
      <c r="M6" s="206"/>
      <c r="N6" s="206"/>
      <c r="O6" s="206"/>
      <c r="P6" s="205"/>
      <c r="Q6" s="205"/>
      <c r="R6" s="205"/>
      <c r="AE6" s="278"/>
      <c r="AQ6" s="278"/>
    </row>
    <row r="7" spans="1:50" x14ac:dyDescent="0.3">
      <c r="C7" s="207" t="s">
        <v>28</v>
      </c>
      <c r="D7" s="205"/>
      <c r="E7" s="205"/>
      <c r="F7" s="208"/>
      <c r="G7" s="209" t="s">
        <v>17</v>
      </c>
      <c r="I7" s="209" t="s">
        <v>22</v>
      </c>
    </row>
    <row r="8" spans="1:50" x14ac:dyDescent="0.3">
      <c r="C8" s="122" t="s">
        <v>26</v>
      </c>
      <c r="G8" s="210" t="s">
        <v>27</v>
      </c>
      <c r="I8" s="210" t="s">
        <v>65</v>
      </c>
    </row>
    <row r="9" spans="1:50" x14ac:dyDescent="0.3">
      <c r="C9" s="121" t="s">
        <v>50</v>
      </c>
      <c r="G9" s="210" t="s">
        <v>34</v>
      </c>
      <c r="H9" s="206"/>
      <c r="I9" s="210" t="s">
        <v>66</v>
      </c>
    </row>
    <row r="10" spans="1:50" x14ac:dyDescent="0.3">
      <c r="I10" s="210" t="s">
        <v>35</v>
      </c>
    </row>
    <row r="11" spans="1:50" x14ac:dyDescent="0.3">
      <c r="I11" s="210" t="s">
        <v>37</v>
      </c>
    </row>
    <row r="13" spans="1:50" x14ac:dyDescent="0.3">
      <c r="C13" s="210"/>
      <c r="Q13" s="193"/>
      <c r="R13" s="193"/>
      <c r="S13" s="195"/>
      <c r="T13" s="195"/>
      <c r="U13" s="195"/>
      <c r="V13" s="195"/>
      <c r="W13" s="195"/>
      <c r="X13" s="195"/>
      <c r="Y13" s="195"/>
      <c r="Z13" s="195"/>
      <c r="AA13" s="195"/>
      <c r="AC13" s="195"/>
      <c r="AD13" s="195"/>
      <c r="AF13" s="195"/>
      <c r="AG13" s="195"/>
      <c r="AH13" s="195"/>
      <c r="AI13" s="195"/>
      <c r="AJ13" s="195"/>
      <c r="AK13" s="195"/>
      <c r="AL13" s="195"/>
      <c r="AM13" s="195"/>
      <c r="AN13" s="195"/>
      <c r="AO13" s="195"/>
      <c r="AP13" s="195"/>
      <c r="AR13" s="195"/>
      <c r="AS13" s="195"/>
      <c r="AT13" s="195"/>
      <c r="AU13" s="195"/>
      <c r="AV13" s="195"/>
      <c r="AW13" s="195"/>
      <c r="AX13" s="195"/>
    </row>
    <row r="18" spans="1:50" x14ac:dyDescent="0.3">
      <c r="R18" s="193"/>
      <c r="S18" s="195"/>
      <c r="T18" s="195"/>
      <c r="U18" s="195"/>
      <c r="V18" s="195"/>
      <c r="W18" s="195"/>
      <c r="X18" s="195"/>
      <c r="Y18" s="195"/>
      <c r="Z18" s="195"/>
      <c r="AA18" s="195"/>
      <c r="AC18" s="195"/>
      <c r="AD18" s="195"/>
      <c r="AF18" s="195"/>
      <c r="AG18" s="195"/>
      <c r="AH18" s="195"/>
      <c r="AI18" s="195"/>
      <c r="AJ18" s="195"/>
      <c r="AK18" s="195"/>
      <c r="AL18" s="195"/>
      <c r="AM18" s="195"/>
      <c r="AN18" s="195"/>
      <c r="AO18" s="195"/>
      <c r="AP18" s="195"/>
      <c r="AR18" s="195"/>
      <c r="AS18" s="195"/>
      <c r="AT18" s="195"/>
      <c r="AU18" s="195"/>
      <c r="AV18" s="195"/>
      <c r="AW18" s="195"/>
      <c r="AX18" s="195"/>
    </row>
    <row r="20" spans="1:50" s="196" customFormat="1" x14ac:dyDescent="0.3">
      <c r="A20" s="191"/>
      <c r="B20" s="191"/>
      <c r="C20" s="191"/>
      <c r="D20" s="191"/>
      <c r="E20" s="191"/>
      <c r="F20" s="191"/>
      <c r="G20" s="191"/>
      <c r="H20" s="191"/>
      <c r="I20" s="191"/>
      <c r="J20" s="191"/>
      <c r="K20" s="191"/>
      <c r="L20" s="191"/>
      <c r="M20" s="191"/>
      <c r="N20" s="191"/>
      <c r="O20" s="191"/>
      <c r="P20" s="191"/>
      <c r="Q20" s="191"/>
      <c r="R20" s="191"/>
      <c r="AE20" s="277"/>
      <c r="AQ20" s="277"/>
    </row>
    <row r="21" spans="1:50" ht="21" thickBot="1" x14ac:dyDescent="0.35">
      <c r="AF21" s="280" t="s">
        <v>25</v>
      </c>
      <c r="AR21" s="280" t="s">
        <v>36</v>
      </c>
    </row>
    <row r="22" spans="1:50" ht="21" thickTop="1" x14ac:dyDescent="0.3"/>
    <row r="23" spans="1:50" x14ac:dyDescent="0.3">
      <c r="C23" s="122" t="s">
        <v>104</v>
      </c>
      <c r="K23" s="122" t="s">
        <v>106</v>
      </c>
      <c r="L23" s="211"/>
      <c r="M23" s="211"/>
      <c r="N23" s="211"/>
      <c r="O23" s="211"/>
      <c r="P23" s="211"/>
      <c r="Q23" s="211"/>
      <c r="R23" s="211"/>
      <c r="Z23" s="81"/>
      <c r="AA23" s="81"/>
    </row>
    <row r="24" spans="1:50" x14ac:dyDescent="0.3">
      <c r="C24" s="290" t="s">
        <v>184</v>
      </c>
      <c r="D24" s="120" t="s">
        <v>133</v>
      </c>
      <c r="E24" s="120" t="s">
        <v>134</v>
      </c>
      <c r="F24" s="120" t="s">
        <v>135</v>
      </c>
      <c r="G24" s="120" t="s">
        <v>136</v>
      </c>
      <c r="H24" s="120" t="s">
        <v>137</v>
      </c>
      <c r="I24" s="120" t="s">
        <v>138</v>
      </c>
      <c r="K24" s="211"/>
      <c r="L24" s="211"/>
      <c r="M24" s="211"/>
      <c r="N24" s="211"/>
      <c r="O24" s="211"/>
      <c r="P24" s="211"/>
      <c r="Q24" s="211"/>
      <c r="R24" s="211"/>
      <c r="AA24" s="81"/>
    </row>
    <row r="25" spans="1:50" x14ac:dyDescent="0.3">
      <c r="C25" s="291" t="s">
        <v>34</v>
      </c>
      <c r="D25" s="292">
        <v>0</v>
      </c>
      <c r="E25" s="292">
        <v>9507669.9029126205</v>
      </c>
      <c r="F25" s="292">
        <v>9230747.4785559438</v>
      </c>
      <c r="G25" s="292">
        <v>8961890.7558795568</v>
      </c>
      <c r="H25" s="292">
        <v>8700864.8115335498</v>
      </c>
      <c r="I25" s="292">
        <v>8447441.5645956807</v>
      </c>
      <c r="K25" s="213"/>
      <c r="L25" s="214">
        <f>Startår</f>
        <v>2022</v>
      </c>
      <c r="M25" s="215">
        <f>L25+1</f>
        <v>2023</v>
      </c>
      <c r="N25" s="215">
        <f>M25+1</f>
        <v>2024</v>
      </c>
      <c r="O25" s="215">
        <f>N25+1</f>
        <v>2025</v>
      </c>
      <c r="P25" s="215">
        <f>O25+1</f>
        <v>2026</v>
      </c>
      <c r="Q25" s="216">
        <f>P25+1</f>
        <v>2027</v>
      </c>
      <c r="R25" s="213" t="s">
        <v>14</v>
      </c>
      <c r="AA25" s="81"/>
    </row>
    <row r="26" spans="1:50" x14ac:dyDescent="0.3">
      <c r="C26"/>
      <c r="D26"/>
      <c r="E26"/>
      <c r="F26"/>
      <c r="G26"/>
      <c r="H26"/>
      <c r="I26"/>
      <c r="K26" s="217" t="s">
        <v>24</v>
      </c>
      <c r="L26" s="218">
        <f>L27+L28</f>
        <v>0</v>
      </c>
      <c r="M26" s="219">
        <f t="shared" ref="M26:R26" si="0">M27+M28</f>
        <v>9507669.9029126205</v>
      </c>
      <c r="N26" s="219">
        <f t="shared" si="0"/>
        <v>9230747.4785559438</v>
      </c>
      <c r="O26" s="219">
        <f t="shared" si="0"/>
        <v>8961890.7558795568</v>
      </c>
      <c r="P26" s="219">
        <f t="shared" si="0"/>
        <v>8700864.8115335498</v>
      </c>
      <c r="Q26" s="220">
        <f t="shared" si="0"/>
        <v>8447441.5645956807</v>
      </c>
      <c r="R26" s="221">
        <f t="shared" si="0"/>
        <v>44848614.513477355</v>
      </c>
      <c r="AA26" s="81"/>
    </row>
    <row r="27" spans="1:50" x14ac:dyDescent="0.3">
      <c r="C27"/>
      <c r="D27"/>
      <c r="E27"/>
      <c r="F27"/>
      <c r="G27"/>
      <c r="H27"/>
      <c r="I27"/>
      <c r="K27" s="222" t="s">
        <v>25</v>
      </c>
      <c r="L27" s="223">
        <f>IFERROR(GETPIVOTDATA("[Measures].[Summan av Troligt år 1]",$C$24,"[Nyttokategori].[Nyttokategori]","[Nyttokategori].[Nyttokategori].&amp;[Finansiell nytta]"),0)</f>
        <v>0</v>
      </c>
      <c r="M27" s="223">
        <f>IFERROR(GETPIVOTDATA("[Measures].[Summan av Troligt år 2]",$C$24,"[Nyttokategori].[Nyttokategori]","[Nyttokategori].[Nyttokategori].&amp;[Finansiell nytta]"),0)</f>
        <v>0</v>
      </c>
      <c r="N27" s="223">
        <f>IFERROR(GETPIVOTDATA("[Measures].[Summan av Troligt år 3]",$C$24,"[Nyttokategori].[Nyttokategori]","[Nyttokategori].[Nyttokategori].&amp;[Finansiell nytta]"),0)</f>
        <v>0</v>
      </c>
      <c r="O27" s="223">
        <f>IFERROR(GETPIVOTDATA("[Measures].[Summan av Troligt år 4]",$C$24,"[Nyttokategori].[Nyttokategori]","[Nyttokategori].[Nyttokategori].&amp;[Finansiell nytta]"),0)</f>
        <v>0</v>
      </c>
      <c r="P27" s="223">
        <f>IFERROR(GETPIVOTDATA("[Measures].[Summan av Troligt år 5]",$C$24,"[Nyttokategori].[Nyttokategori]","[Nyttokategori].[Nyttokategori].&amp;[Finansiell nytta]"),0)</f>
        <v>0</v>
      </c>
      <c r="Q27" s="223">
        <f>IFERROR(GETPIVOTDATA("[Measures].[Summan av Troligt år 6]",$C$24,"[Nyttokategori].[Nyttokategori]","[Nyttokategori].[Nyttokategori].&amp;[Finansiell nytta]"),0)</f>
        <v>0</v>
      </c>
      <c r="R27" s="224">
        <f>SUM(L27:Q27)</f>
        <v>0</v>
      </c>
      <c r="AA27" s="81"/>
    </row>
    <row r="28" spans="1:50" x14ac:dyDescent="0.3">
      <c r="C28"/>
      <c r="D28"/>
      <c r="E28"/>
      <c r="F28"/>
      <c r="G28"/>
      <c r="H28"/>
      <c r="I28"/>
      <c r="K28" s="225" t="s">
        <v>36</v>
      </c>
      <c r="L28" s="226">
        <f>IFERROR(GETPIVOTDATA("[Measures].[Summan av Troligt år 1]",$C$24,"[Nyttokategori].[Nyttokategori]","[Nyttokategori].[Nyttokategori].&amp;[Omfördelningsnytta]"),0)</f>
        <v>0</v>
      </c>
      <c r="M28" s="226">
        <f>IFERROR(GETPIVOTDATA("[Measures].[Summan av Troligt år 2]",$C$24,"[Nyttokategori].[Nyttokategori]","[Nyttokategori].[Nyttokategori].&amp;[Omfördelningsnytta]"),0)</f>
        <v>9507669.9029126205</v>
      </c>
      <c r="N28" s="226">
        <f>IFERROR(GETPIVOTDATA("[Measures].[Summan av Troligt år 3]",$C$24,"[Nyttokategori].[Nyttokategori]","[Nyttokategori].[Nyttokategori].&amp;[Omfördelningsnytta]"),0)</f>
        <v>9230747.4785559438</v>
      </c>
      <c r="O28" s="226">
        <f>IFERROR(GETPIVOTDATA("[Measures].[Summan av Troligt år 4]",$C$24,"[Nyttokategori].[Nyttokategori]","[Nyttokategori].[Nyttokategori].&amp;[Omfördelningsnytta]"),0)</f>
        <v>8961890.7558795568</v>
      </c>
      <c r="P28" s="226">
        <f>IFERROR(GETPIVOTDATA("[Measures].[Summan av Troligt år 5]",$C$24,"[Nyttokategori].[Nyttokategori]","[Nyttokategori].[Nyttokategori].&amp;[Omfördelningsnytta]"),0)</f>
        <v>8700864.8115335498</v>
      </c>
      <c r="Q28" s="226">
        <f>IFERROR(GETPIVOTDATA("[Measures].[Summan av Troligt år 6]",$C$24,"[Nyttokategori].[Nyttokategori]","[Nyttokategori].[Nyttokategori].&amp;[Omfördelningsnytta]"),0)</f>
        <v>8447441.5645956807</v>
      </c>
      <c r="R28" s="227">
        <f>SUM(L28:Q28)</f>
        <v>44848614.513477355</v>
      </c>
      <c r="AA28" s="81"/>
    </row>
    <row r="29" spans="1:50" x14ac:dyDescent="0.3">
      <c r="C29"/>
      <c r="D29"/>
      <c r="E29"/>
      <c r="F29"/>
      <c r="G29"/>
      <c r="K29" s="228"/>
      <c r="L29" s="211"/>
      <c r="M29" s="211"/>
      <c r="N29" s="211"/>
      <c r="O29" s="211"/>
      <c r="P29" s="211"/>
      <c r="Q29" s="211"/>
      <c r="R29" s="228"/>
      <c r="AA29" s="81"/>
    </row>
    <row r="30" spans="1:50" x14ac:dyDescent="0.3">
      <c r="C30"/>
      <c r="D30"/>
      <c r="E30"/>
      <c r="F30"/>
      <c r="G30"/>
      <c r="H30"/>
      <c r="I30"/>
      <c r="K30" s="217" t="s">
        <v>5</v>
      </c>
      <c r="L30" s="229">
        <f>SUM(L31:L34)</f>
        <v>-1960000</v>
      </c>
      <c r="M30" s="229">
        <f t="shared" ref="M30:R30" si="1">SUM(M31:M34)</f>
        <v>-503592.2330097087</v>
      </c>
      <c r="N30" s="229">
        <f t="shared" si="1"/>
        <v>-488924.49806767842</v>
      </c>
      <c r="O30" s="229">
        <f t="shared" si="1"/>
        <v>-474683.97870648385</v>
      </c>
      <c r="P30" s="229">
        <f t="shared" si="1"/>
        <v>-460858.23175386788</v>
      </c>
      <c r="Q30" s="230">
        <f t="shared" si="1"/>
        <v>-447435.17646006594</v>
      </c>
      <c r="R30" s="231">
        <f t="shared" si="1"/>
        <v>-4335494.1179978047</v>
      </c>
      <c r="AA30" s="81"/>
    </row>
    <row r="31" spans="1:50" x14ac:dyDescent="0.3">
      <c r="C31"/>
      <c r="D31"/>
      <c r="E31"/>
      <c r="F31"/>
      <c r="G31"/>
      <c r="H31"/>
      <c r="I31"/>
      <c r="K31" s="232" t="s">
        <v>65</v>
      </c>
      <c r="L31" s="233">
        <f>IFERROR(-GETPIVOTDATA("[Measures].[Summan av Trolig år 1]",$C$33,"[Kostnadskategori].[Kostnadskategori]","[Kostnadskategori].[Kostnadskategori].&amp;[Verksamhetsförändring]"),0)</f>
        <v>0</v>
      </c>
      <c r="M31" s="234">
        <f>IFERROR(-GETPIVOTDATA("[Measures].[Summan av Trolig år 2]",$C$33,"[Kostnadskategori].[Kostnadskategori]","[Kostnadskategori].[Kostnadskategori].&amp;[Verksamhetsförändring]"),0)</f>
        <v>0</v>
      </c>
      <c r="N31" s="234">
        <f>IFERROR(-GETPIVOTDATA("[Measures].[Summan av Trolig år 3]",$C$33,"[Kostnadskategori].[Kostnadskategori]","[Kostnadskategori].[Kostnadskategori].&amp;[Verksamhetsförändring]"),0)</f>
        <v>0</v>
      </c>
      <c r="O31" s="234">
        <f>IFERROR(-GETPIVOTDATA("[Measures].[Summan av Trolig år 4]",$C$33,"[Kostnadskategori].[Kostnadskategori]","[Kostnadskategori].[Kostnadskategori].&amp;[Verksamhetsförändring]"),0)</f>
        <v>0</v>
      </c>
      <c r="P31" s="234">
        <f>IFERROR(-GETPIVOTDATA("[Measures].[Summan av Trolig år 5]",$C$33,"[Kostnadskategori].[Kostnadskategori]","[Kostnadskategori].[Kostnadskategori].&amp;[Verksamhetsförändring]"),0)</f>
        <v>0</v>
      </c>
      <c r="Q31" s="234">
        <f>IFERROR(-GETPIVOTDATA("[Measures].[Summan av Trolig år 6]",$C$33,"[Kostnadskategori].[Kostnadskategori]","[Kostnadskategori].[Kostnadskategori].&amp;[Verksamhetsförändring]"),0)</f>
        <v>0</v>
      </c>
      <c r="R31" s="235">
        <f>SUM(L31:Q31)</f>
        <v>0</v>
      </c>
      <c r="AA31" s="81"/>
    </row>
    <row r="32" spans="1:50" x14ac:dyDescent="0.3">
      <c r="C32" s="122" t="s">
        <v>105</v>
      </c>
      <c r="D32"/>
      <c r="E32"/>
      <c r="F32"/>
      <c r="G32"/>
      <c r="H32"/>
      <c r="I32"/>
      <c r="K32" s="232" t="s">
        <v>66</v>
      </c>
      <c r="L32" s="236">
        <f>IFERROR(-GETPIVOTDATA("[Measures].[Summan av Trolig år 1]",$C$33,"[Kostnadskategori].[Kostnadskategori]","[Kostnadskategori].[Kostnadskategori].&amp;[Löpande verksamhetskostnader]"),0)</f>
        <v>0</v>
      </c>
      <c r="M32" s="223">
        <f>IFERROR(-GETPIVOTDATA("[Measures].[Summan av Trolig år 2]",$C$33,"[Kostnadskategori].[Kostnadskategori]","[Kostnadskategori].[Kostnadskategori].&amp;[Löpande verksamhetskostnader]"),0)</f>
        <v>-503592.2330097087</v>
      </c>
      <c r="N32" s="223">
        <f>IFERROR(-GETPIVOTDATA("[Measures].[Summan av Trolig år 3]",$C$33,"[Kostnadskategori].[Kostnadskategori]","[Kostnadskategori].[Kostnadskategori].&amp;[Löpande verksamhetskostnader]"),0)</f>
        <v>-488924.49806767842</v>
      </c>
      <c r="O32" s="223">
        <f>IFERROR(-GETPIVOTDATA("[Measures].[Summan av Trolig år 4]",$C$33,"[Kostnadskategori].[Kostnadskategori]","[Kostnadskategori].[Kostnadskategori].&amp;[Löpande verksamhetskostnader]"),0)</f>
        <v>-474683.97870648385</v>
      </c>
      <c r="P32" s="223">
        <f>IFERROR(-GETPIVOTDATA("[Measures].[Summan av Trolig år 5]",$C$33,"[Kostnadskategori].[Kostnadskategori]","[Kostnadskategori].[Kostnadskategori].&amp;[Löpande verksamhetskostnader]"),0)</f>
        <v>-460858.23175386788</v>
      </c>
      <c r="Q32" s="223">
        <f>IFERROR(-GETPIVOTDATA("[Measures].[Summan av Trolig år 6]",$C$33,"[Kostnadskategori].[Kostnadskategori]","[Kostnadskategori].[Kostnadskategori].&amp;[Löpande verksamhetskostnader]"),0)</f>
        <v>-447435.17646006594</v>
      </c>
      <c r="R32" s="237">
        <f>SUM(L32:Q32)</f>
        <v>-2375494.1179978047</v>
      </c>
      <c r="AA32" s="81"/>
    </row>
    <row r="33" spans="1:51" x14ac:dyDescent="0.3">
      <c r="C33" s="290" t="s">
        <v>184</v>
      </c>
      <c r="D33" s="120" t="s">
        <v>139</v>
      </c>
      <c r="E33" s="120" t="s">
        <v>140</v>
      </c>
      <c r="F33" s="120" t="s">
        <v>141</v>
      </c>
      <c r="G33" s="120" t="s">
        <v>142</v>
      </c>
      <c r="H33" s="120" t="s">
        <v>143</v>
      </c>
      <c r="I33" s="120" t="s">
        <v>144</v>
      </c>
      <c r="K33" s="232" t="s">
        <v>35</v>
      </c>
      <c r="L33" s="236">
        <f>IFERROR(-GETPIVOTDATA("[Measures].[Summan av Trolig år 1]",$C$33,"[Kostnadskategori].[Kostnadskategori]","[Kostnadskategori].[Kostnadskategori].&amp;[Investeringar]"),0)</f>
        <v>-1960000</v>
      </c>
      <c r="M33" s="223">
        <f>IFERROR(-GETPIVOTDATA("[Measures].[Summan av Trolig år 2]",$C$33,"[Kostnadskategori].[Kostnadskategori]","[Kostnadskategori].[Kostnadskategori].&amp;[Investeringar]"),0)</f>
        <v>0</v>
      </c>
      <c r="N33" s="223">
        <f>IFERROR(-GETPIVOTDATA("[Measures].[Summan av Trolig år 3]",$C$33,"[Kostnadskategori].[Kostnadskategori]","[Kostnadskategori].[Kostnadskategori].&amp;[Investeringar]"),0)</f>
        <v>0</v>
      </c>
      <c r="O33" s="223">
        <f>IFERROR(-GETPIVOTDATA("[Measures].[Summan av Trolig år 4]",$C$33,"[Kostnadskategori].[Kostnadskategori]","[Kostnadskategori].[Kostnadskategori].&amp;[Investeringar]"),0)</f>
        <v>0</v>
      </c>
      <c r="P33" s="223">
        <f>IFERROR(-GETPIVOTDATA("[Measures].[Summan av Trolig år 5]",$C$33,"[Kostnadskategori].[Kostnadskategori]","[Kostnadskategori].[Kostnadskategori].&amp;[Investeringar]"),0)</f>
        <v>0</v>
      </c>
      <c r="Q33" s="223">
        <f>IFERROR(-GETPIVOTDATA("[Measures].[Summan av Trolig år 6]",$C$33,"[Kostnadskategori].[Kostnadskategori]","[Kostnadskategori].[Kostnadskategori].&amp;[Investeringar]"),0)</f>
        <v>0</v>
      </c>
      <c r="R33" s="237">
        <f>SUM(L33:Q33)</f>
        <v>-1960000</v>
      </c>
      <c r="AA33" s="81"/>
    </row>
    <row r="34" spans="1:51" x14ac:dyDescent="0.3">
      <c r="C34" s="291" t="s">
        <v>35</v>
      </c>
      <c r="D34" s="292">
        <v>1960000</v>
      </c>
      <c r="E34" s="292">
        <v>0</v>
      </c>
      <c r="F34" s="292">
        <v>0</v>
      </c>
      <c r="G34" s="292">
        <v>0</v>
      </c>
      <c r="H34" s="292">
        <v>0</v>
      </c>
      <c r="I34" s="292">
        <v>0</v>
      </c>
      <c r="K34" s="238" t="s">
        <v>37</v>
      </c>
      <c r="L34" s="239">
        <f>IFERROR(-GETPIVOTDATA("[Measures].[Summan av Trolig år 1]",$C$33,"[Kostnadskategori].[Kostnadskategori]","[Kostnadskategori].[Kostnadskategori].&amp;[Projekt]"),0)</f>
        <v>0</v>
      </c>
      <c r="M34" s="240">
        <f>IFERROR(-GETPIVOTDATA("[Measures].[Summan av Trolig år 2]",$C$33,"[Kostnadskategori].[Kostnadskategori]","[Kostnadskategori].[Kostnadskategori].&amp;[Projekt]"),0)</f>
        <v>0</v>
      </c>
      <c r="N34" s="240">
        <f>IFERROR(-GETPIVOTDATA("[Measures].[Summan av Trolig år 3]",$C$33,"[Kostnadskategori].[Kostnadskategori]","[Kostnadskategori].[Kostnadskategori].&amp;[Projekt]"),0)</f>
        <v>0</v>
      </c>
      <c r="O34" s="240">
        <f>IFERROR(-GETPIVOTDATA("[Measures].[Summan av Trolig år 4]",$C$33,"[Kostnadskategori].[Kostnadskategori]","[Kostnadskategori].[Kostnadskategori].&amp;[Projekt]"),0)</f>
        <v>0</v>
      </c>
      <c r="P34" s="240">
        <f>IFERROR(-GETPIVOTDATA("[Measures].[Summan av Trolig år 5]",$C$33,"[Kostnadskategori].[Kostnadskategori]","[Kostnadskategori].[Kostnadskategori].&amp;[Projekt]"),0)</f>
        <v>0</v>
      </c>
      <c r="Q34" s="240">
        <f>IFERROR(-GETPIVOTDATA("[Measures].[Summan av Trolig år 6]",$C$33,"[Kostnadskategori].[Kostnadskategori]","[Kostnadskategori].[Kostnadskategori].&amp;[Projekt]"),0)</f>
        <v>0</v>
      </c>
      <c r="R34" s="241">
        <f>SUM(L34:Q34)</f>
        <v>0</v>
      </c>
      <c r="AA34" s="81"/>
    </row>
    <row r="35" spans="1:51" x14ac:dyDescent="0.3">
      <c r="C35" s="291" t="s">
        <v>66</v>
      </c>
      <c r="D35" s="292">
        <v>0</v>
      </c>
      <c r="E35" s="292">
        <v>503592.2330097087</v>
      </c>
      <c r="F35" s="292">
        <v>488924.49806767842</v>
      </c>
      <c r="G35" s="292">
        <v>474683.97870648385</v>
      </c>
      <c r="H35" s="292">
        <v>460858.23175386788</v>
      </c>
      <c r="I35" s="292">
        <v>447435.17646006594</v>
      </c>
      <c r="K35" s="228"/>
      <c r="L35" s="211"/>
      <c r="M35" s="211"/>
      <c r="N35" s="211"/>
      <c r="O35" s="211"/>
      <c r="P35" s="211"/>
      <c r="Q35" s="211"/>
      <c r="R35" s="228"/>
      <c r="AA35" s="81"/>
    </row>
    <row r="36" spans="1:51" x14ac:dyDescent="0.3">
      <c r="C36"/>
      <c r="D36"/>
      <c r="E36"/>
      <c r="F36"/>
      <c r="G36"/>
      <c r="H36"/>
      <c r="I36"/>
      <c r="K36" s="242" t="s">
        <v>39</v>
      </c>
      <c r="L36" s="243">
        <f t="shared" ref="L36:R36" si="2">L27+L30</f>
        <v>-1960000</v>
      </c>
      <c r="M36" s="243">
        <f t="shared" si="2"/>
        <v>-503592.2330097087</v>
      </c>
      <c r="N36" s="243">
        <f t="shared" si="2"/>
        <v>-488924.49806767842</v>
      </c>
      <c r="O36" s="243">
        <f t="shared" si="2"/>
        <v>-474683.97870648385</v>
      </c>
      <c r="P36" s="243">
        <f t="shared" si="2"/>
        <v>-460858.23175386788</v>
      </c>
      <c r="Q36" s="243">
        <f t="shared" si="2"/>
        <v>-447435.17646006594</v>
      </c>
      <c r="R36" s="244">
        <f t="shared" si="2"/>
        <v>-4335494.1179978047</v>
      </c>
      <c r="AA36" s="81"/>
    </row>
    <row r="37" spans="1:51" x14ac:dyDescent="0.3">
      <c r="C37"/>
      <c r="D37"/>
      <c r="E37"/>
      <c r="F37"/>
      <c r="G37"/>
      <c r="H37"/>
      <c r="I37"/>
      <c r="K37" s="245" t="s">
        <v>47</v>
      </c>
      <c r="L37" s="246">
        <f>L28+L30</f>
        <v>-1960000</v>
      </c>
      <c r="M37" s="247">
        <f>IF(M36=0,L37,L37+M36)</f>
        <v>-2463592.2330097086</v>
      </c>
      <c r="N37" s="247">
        <f>IF(N36=0,M37,M37+N36)</f>
        <v>-2952516.731077387</v>
      </c>
      <c r="O37" s="247">
        <f>IF(O36=0,N37,N37+O36)</f>
        <v>-3427200.7097838707</v>
      </c>
      <c r="P37" s="247">
        <f>IF(P36=0,O37,O37+P36)</f>
        <v>-3888058.9415377388</v>
      </c>
      <c r="Q37" s="247">
        <f>IF(Q36=0,P37,P37+Q36)</f>
        <v>-4335494.1179978047</v>
      </c>
      <c r="R37" s="248">
        <f>Q37</f>
        <v>-4335494.1179978047</v>
      </c>
      <c r="AA37" s="81"/>
    </row>
    <row r="38" spans="1:51" x14ac:dyDescent="0.3">
      <c r="C38"/>
      <c r="D38"/>
      <c r="E38"/>
      <c r="F38"/>
      <c r="G38"/>
      <c r="H38"/>
      <c r="I38"/>
      <c r="K38" s="242" t="s">
        <v>40</v>
      </c>
      <c r="L38" s="243">
        <f t="shared" ref="L38:R38" si="3">L28+L30</f>
        <v>-1960000</v>
      </c>
      <c r="M38" s="243">
        <f t="shared" si="3"/>
        <v>9004077.6699029114</v>
      </c>
      <c r="N38" s="243">
        <f t="shared" si="3"/>
        <v>8741822.9804882649</v>
      </c>
      <c r="O38" s="243">
        <f t="shared" si="3"/>
        <v>8487206.7771730721</v>
      </c>
      <c r="P38" s="243">
        <f t="shared" si="3"/>
        <v>8240006.5797796817</v>
      </c>
      <c r="Q38" s="243">
        <f t="shared" si="3"/>
        <v>8000006.3881356148</v>
      </c>
      <c r="R38" s="244">
        <f t="shared" si="3"/>
        <v>40513120.395479552</v>
      </c>
      <c r="AA38" s="81"/>
    </row>
    <row r="39" spans="1:51" x14ac:dyDescent="0.3">
      <c r="C39"/>
      <c r="D39"/>
      <c r="E39"/>
      <c r="K39" s="245" t="s">
        <v>41</v>
      </c>
      <c r="L39" s="246">
        <f>L40</f>
        <v>-1960000</v>
      </c>
      <c r="M39" s="247">
        <f>IF(M38=0,L39,L39+M38)</f>
        <v>7044077.6699029114</v>
      </c>
      <c r="N39" s="247">
        <f>IF(N38=0,M39,M39+N38)</f>
        <v>15785900.650391176</v>
      </c>
      <c r="O39" s="247">
        <f>IF(O38=0,N39,N39+O38)</f>
        <v>24273107.427564248</v>
      </c>
      <c r="P39" s="247">
        <f>IF(P38=0,O39,O39+P38)</f>
        <v>32513114.007343929</v>
      </c>
      <c r="Q39" s="247">
        <f>IF(Q38=0,P39,P39+Q38)</f>
        <v>40513120.395479545</v>
      </c>
      <c r="R39" s="248">
        <f>Q39</f>
        <v>40513120.395479545</v>
      </c>
      <c r="AA39" s="81"/>
    </row>
    <row r="40" spans="1:51" x14ac:dyDescent="0.3">
      <c r="C40"/>
      <c r="D40"/>
      <c r="E40"/>
      <c r="K40" s="217" t="s">
        <v>6</v>
      </c>
      <c r="L40" s="218">
        <f t="shared" ref="L40:R40" si="4">L26+L30</f>
        <v>-1960000</v>
      </c>
      <c r="M40" s="219">
        <f t="shared" si="4"/>
        <v>9004077.6699029114</v>
      </c>
      <c r="N40" s="219">
        <f t="shared" si="4"/>
        <v>8741822.9804882649</v>
      </c>
      <c r="O40" s="219">
        <f t="shared" si="4"/>
        <v>8487206.7771730721</v>
      </c>
      <c r="P40" s="219">
        <f t="shared" si="4"/>
        <v>8240006.5797796817</v>
      </c>
      <c r="Q40" s="220">
        <f t="shared" si="4"/>
        <v>8000006.3881356148</v>
      </c>
      <c r="R40" s="221">
        <f t="shared" si="4"/>
        <v>40513120.395479552</v>
      </c>
      <c r="AA40" s="81"/>
    </row>
    <row r="41" spans="1:51" x14ac:dyDescent="0.3">
      <c r="C41"/>
      <c r="D41"/>
      <c r="E41"/>
      <c r="K41" s="249" t="s">
        <v>13</v>
      </c>
      <c r="L41" s="250">
        <f>L40</f>
        <v>-1960000</v>
      </c>
      <c r="M41" s="251">
        <f>IF(M40=0,L41,L41+M40)</f>
        <v>7044077.6699029114</v>
      </c>
      <c r="N41" s="251">
        <f>IF(N40=0,M41,M41+N40)</f>
        <v>15785900.650391176</v>
      </c>
      <c r="O41" s="251">
        <f>IF(O40=0,N41,N41+O40)</f>
        <v>24273107.427564248</v>
      </c>
      <c r="P41" s="251">
        <f>IF(P40=0,O41,O41+P40)</f>
        <v>32513114.007343929</v>
      </c>
      <c r="Q41" s="252">
        <f>IF(Q40=0,P41,P41+Q40)</f>
        <v>40513120.395479545</v>
      </c>
      <c r="R41" s="253">
        <f>Q41</f>
        <v>40513120.395479545</v>
      </c>
      <c r="AA41" s="81"/>
    </row>
    <row r="42" spans="1:51" x14ac:dyDescent="0.3">
      <c r="C42"/>
      <c r="D42"/>
      <c r="E42"/>
      <c r="AA42" s="81"/>
    </row>
    <row r="43" spans="1:51" x14ac:dyDescent="0.3">
      <c r="C43"/>
      <c r="D43"/>
      <c r="E43"/>
      <c r="R43" s="211"/>
      <c r="S43" s="81"/>
      <c r="T43" s="81"/>
      <c r="U43" s="81"/>
      <c r="V43" s="81"/>
      <c r="W43" s="81"/>
      <c r="X43" s="81"/>
      <c r="Y43" s="81"/>
      <c r="Z43" s="81"/>
      <c r="AA43" s="81"/>
    </row>
    <row r="44" spans="1:51" x14ac:dyDescent="0.3">
      <c r="C44"/>
      <c r="D44"/>
      <c r="E44"/>
    </row>
    <row r="45" spans="1:51" s="196" customFormat="1" x14ac:dyDescent="0.3">
      <c r="A45" s="191"/>
      <c r="B45" s="191"/>
      <c r="C45" s="191"/>
      <c r="D45" s="191"/>
      <c r="E45" s="191"/>
      <c r="F45" s="191"/>
      <c r="G45" s="191"/>
      <c r="H45" s="191"/>
      <c r="I45" s="191"/>
      <c r="J45" s="191"/>
      <c r="K45" s="191"/>
      <c r="L45" s="191"/>
      <c r="M45" s="191"/>
      <c r="N45" s="191"/>
      <c r="O45" s="191"/>
      <c r="P45" s="191"/>
      <c r="Q45" s="191"/>
      <c r="R45" s="191"/>
      <c r="AE45" s="277"/>
      <c r="AQ45" s="277"/>
    </row>
    <row r="46" spans="1:51" x14ac:dyDescent="0.3">
      <c r="C46"/>
      <c r="D46"/>
      <c r="E46"/>
      <c r="AG46" s="122" t="s">
        <v>25</v>
      </c>
      <c r="AH46" s="267">
        <f>Startår</f>
        <v>2022</v>
      </c>
      <c r="AI46" s="267">
        <f>AH46+1</f>
        <v>2023</v>
      </c>
      <c r="AJ46" s="267">
        <f>AI46+1</f>
        <v>2024</v>
      </c>
      <c r="AK46" s="267">
        <f>AJ46+1</f>
        <v>2025</v>
      </c>
      <c r="AL46" s="267">
        <f>AK46+1</f>
        <v>2026</v>
      </c>
      <c r="AM46" s="267">
        <f>AL46+1</f>
        <v>2027</v>
      </c>
      <c r="AN46" s="283"/>
      <c r="AO46" s="283"/>
      <c r="AP46" s="283"/>
    </row>
    <row r="47" spans="1:51" x14ac:dyDescent="0.3">
      <c r="C47"/>
      <c r="D47"/>
      <c r="E47"/>
      <c r="AG47" s="265" t="s">
        <v>29</v>
      </c>
      <c r="AH47" s="258" t="b">
        <f>$L$37&gt;0</f>
        <v>0</v>
      </c>
      <c r="AI47" s="258" t="b">
        <f>$M$37&gt;0</f>
        <v>0</v>
      </c>
      <c r="AJ47" s="258" t="b">
        <f>$N$37&gt;0</f>
        <v>0</v>
      </c>
      <c r="AK47" s="258" t="b">
        <f>$O$37&gt;0</f>
        <v>0</v>
      </c>
      <c r="AL47" s="258" t="b">
        <f>$P$37&gt;0</f>
        <v>0</v>
      </c>
      <c r="AM47" s="258" t="b">
        <f>$Q$37&gt;0</f>
        <v>0</v>
      </c>
      <c r="AN47" s="284"/>
      <c r="AO47" s="284"/>
      <c r="AP47" s="284"/>
      <c r="AS47" s="122" t="s">
        <v>36</v>
      </c>
      <c r="AT47" s="267">
        <f>Startår</f>
        <v>2022</v>
      </c>
      <c r="AU47" s="267">
        <f>AT47+1</f>
        <v>2023</v>
      </c>
      <c r="AV47" s="267">
        <f>AU47+1</f>
        <v>2024</v>
      </c>
      <c r="AW47" s="267">
        <f>AV47+1</f>
        <v>2025</v>
      </c>
      <c r="AX47" s="267">
        <f>AW47+1</f>
        <v>2026</v>
      </c>
      <c r="AY47" s="267">
        <f>AX47+1</f>
        <v>2027</v>
      </c>
    </row>
    <row r="48" spans="1:51" x14ac:dyDescent="0.3">
      <c r="C48"/>
      <c r="D48"/>
      <c r="E48"/>
      <c r="K48" s="207" t="s">
        <v>30</v>
      </c>
      <c r="L48" s="205"/>
      <c r="M48" s="205"/>
      <c r="N48" s="208"/>
      <c r="O48" s="206"/>
      <c r="P48" s="206"/>
      <c r="AG48" s="265" t="s">
        <v>32</v>
      </c>
      <c r="AH48" s="258" t="str">
        <f>IF(AH47=FALSE,"x",AH46)</f>
        <v>x</v>
      </c>
      <c r="AI48" s="258" t="str">
        <f t="shared" ref="AI48:AM48" si="5">IF(AI47=FALSE,"x",AI46)</f>
        <v>x</v>
      </c>
      <c r="AJ48" s="258" t="str">
        <f t="shared" si="5"/>
        <v>x</v>
      </c>
      <c r="AK48" s="258" t="str">
        <f t="shared" si="5"/>
        <v>x</v>
      </c>
      <c r="AL48" s="258" t="str">
        <f t="shared" si="5"/>
        <v>x</v>
      </c>
      <c r="AM48" s="258" t="str">
        <f t="shared" si="5"/>
        <v>x</v>
      </c>
      <c r="AN48" s="284"/>
      <c r="AO48" s="284"/>
      <c r="AP48" s="284"/>
      <c r="AS48" s="265" t="s">
        <v>29</v>
      </c>
      <c r="AT48" s="258" t="b">
        <f>$L$39&gt;0</f>
        <v>0</v>
      </c>
      <c r="AU48" s="258" t="b">
        <f>$M$39&gt;0</f>
        <v>1</v>
      </c>
      <c r="AV48" s="258" t="b">
        <f>$N$39&gt;0</f>
        <v>1</v>
      </c>
      <c r="AW48" s="258" t="b">
        <f>$O$39&gt;0</f>
        <v>1</v>
      </c>
      <c r="AX48" s="258" t="b">
        <f>$P$39&gt;0</f>
        <v>1</v>
      </c>
      <c r="AY48" s="258" t="b">
        <f>$Q$39&gt;0</f>
        <v>1</v>
      </c>
    </row>
    <row r="49" spans="3:51" x14ac:dyDescent="0.3">
      <c r="C49"/>
      <c r="D49"/>
      <c r="E49"/>
      <c r="AG49" s="265" t="s">
        <v>33</v>
      </c>
      <c r="AH49" s="266">
        <f>MIN(AH48:AM48)</f>
        <v>0</v>
      </c>
      <c r="AI49" s="121"/>
      <c r="AJ49" s="121"/>
      <c r="AK49" s="121"/>
      <c r="AL49" s="121"/>
      <c r="AM49" s="121"/>
      <c r="AN49" s="121"/>
      <c r="AO49" s="121"/>
      <c r="AP49" s="121"/>
      <c r="AS49" s="265" t="s">
        <v>32</v>
      </c>
      <c r="AT49" s="258" t="str">
        <f>IF(AT48=FALSE,"x",AT47)</f>
        <v>x</v>
      </c>
      <c r="AU49" s="258">
        <f t="shared" ref="AU49" si="6">IF(AU48=FALSE,"x",AU47)</f>
        <v>2023</v>
      </c>
      <c r="AV49" s="258">
        <f t="shared" ref="AV49" si="7">IF(AV48=FALSE,"x",AV47)</f>
        <v>2024</v>
      </c>
      <c r="AW49" s="258">
        <f t="shared" ref="AW49" si="8">IF(AW48=FALSE,"x",AW47)</f>
        <v>2025</v>
      </c>
      <c r="AX49" s="258">
        <f t="shared" ref="AX49" si="9">IF(AX48=FALSE,"x",AX47)</f>
        <v>2026</v>
      </c>
      <c r="AY49" s="258">
        <f t="shared" ref="AY49" si="10">IF(AY48=FALSE,"x",AY47)</f>
        <v>2027</v>
      </c>
    </row>
    <row r="50" spans="3:51" x14ac:dyDescent="0.3">
      <c r="C50"/>
      <c r="D50"/>
      <c r="E50"/>
      <c r="K50" s="122" t="s">
        <v>46</v>
      </c>
      <c r="L50" s="255">
        <f>Startår</f>
        <v>2022</v>
      </c>
      <c r="M50" s="255">
        <f>L50+1</f>
        <v>2023</v>
      </c>
      <c r="N50" s="255">
        <f>M50+1</f>
        <v>2024</v>
      </c>
      <c r="O50" s="255">
        <f>N50+1</f>
        <v>2025</v>
      </c>
      <c r="P50" s="255">
        <f>O50+1</f>
        <v>2026</v>
      </c>
      <c r="Q50" s="255">
        <f>P50+1</f>
        <v>2027</v>
      </c>
      <c r="AG50" s="265" t="s">
        <v>31</v>
      </c>
      <c r="AH50" s="260" t="str">
        <f>IF(Admin!AH49=0,"Ingen payback",Admin!AH49)</f>
        <v>Ingen payback</v>
      </c>
      <c r="AI50" s="121"/>
      <c r="AJ50" s="121"/>
      <c r="AK50" s="121"/>
      <c r="AL50" s="121"/>
      <c r="AM50" s="121"/>
      <c r="AN50" s="121"/>
      <c r="AO50" s="121"/>
      <c r="AP50" s="121"/>
      <c r="AS50" s="265" t="s">
        <v>33</v>
      </c>
      <c r="AT50" s="266">
        <f>MIN(AT49:AY49)</f>
        <v>2023</v>
      </c>
      <c r="AU50" s="121"/>
      <c r="AV50" s="121"/>
      <c r="AW50" s="121"/>
      <c r="AX50" s="121"/>
      <c r="AY50" s="121"/>
    </row>
    <row r="51" spans="3:51" x14ac:dyDescent="0.3">
      <c r="K51" s="265" t="s">
        <v>29</v>
      </c>
      <c r="L51" s="258" t="b">
        <f>L41&gt;0</f>
        <v>0</v>
      </c>
      <c r="M51" s="258" t="b">
        <f t="shared" ref="M51:Q51" si="11">M41&gt;0</f>
        <v>1</v>
      </c>
      <c r="N51" s="258" t="b">
        <f t="shared" si="11"/>
        <v>1</v>
      </c>
      <c r="O51" s="258" t="b">
        <f t="shared" si="11"/>
        <v>1</v>
      </c>
      <c r="P51" s="258" t="b">
        <f t="shared" si="11"/>
        <v>1</v>
      </c>
      <c r="Q51" s="258" t="b">
        <f t="shared" si="11"/>
        <v>1</v>
      </c>
      <c r="AS51" s="265" t="s">
        <v>31</v>
      </c>
      <c r="AT51" s="260">
        <f>IF(Admin!AT50=0,"Ingen payback",Admin!AT50)</f>
        <v>2023</v>
      </c>
      <c r="AU51" s="121"/>
      <c r="AV51" s="121"/>
      <c r="AW51" s="121"/>
      <c r="AX51" s="121"/>
      <c r="AY51" s="121"/>
    </row>
    <row r="52" spans="3:51" x14ac:dyDescent="0.3">
      <c r="K52" s="265" t="s">
        <v>32</v>
      </c>
      <c r="L52" s="258" t="str">
        <f>IF(L51=FALSE,"x",L50)</f>
        <v>x</v>
      </c>
      <c r="M52" s="258">
        <f t="shared" ref="M52:Q52" si="12">IF(M51=FALSE,"x",M50)</f>
        <v>2023</v>
      </c>
      <c r="N52" s="258">
        <f t="shared" si="12"/>
        <v>2024</v>
      </c>
      <c r="O52" s="258">
        <f t="shared" si="12"/>
        <v>2025</v>
      </c>
      <c r="P52" s="258">
        <f t="shared" si="12"/>
        <v>2026</v>
      </c>
      <c r="Q52" s="258">
        <f t="shared" si="12"/>
        <v>2027</v>
      </c>
    </row>
    <row r="53" spans="3:51" x14ac:dyDescent="0.3">
      <c r="K53" s="265" t="s">
        <v>33</v>
      </c>
      <c r="L53" s="266">
        <f>MIN(L52:Q52)</f>
        <v>2023</v>
      </c>
    </row>
    <row r="54" spans="3:51" x14ac:dyDescent="0.3">
      <c r="K54" s="265" t="s">
        <v>31</v>
      </c>
      <c r="L54" s="260">
        <f>IF(Admin!L53=0,"Ingen payback",Admin!L53)</f>
        <v>2023</v>
      </c>
    </row>
    <row r="56" spans="3:51" x14ac:dyDescent="0.3">
      <c r="M56" s="212"/>
    </row>
    <row r="57" spans="3:51" x14ac:dyDescent="0.3">
      <c r="M57" s="212"/>
    </row>
    <row r="58" spans="3:51" x14ac:dyDescent="0.3">
      <c r="M58" s="212"/>
    </row>
    <row r="59" spans="3:51" x14ac:dyDescent="0.3">
      <c r="J59" s="206"/>
      <c r="M59" s="212"/>
    </row>
    <row r="60" spans="3:51" x14ac:dyDescent="0.3">
      <c r="M60" s="212"/>
    </row>
    <row r="61" spans="3:51" x14ac:dyDescent="0.3">
      <c r="M61" s="212"/>
    </row>
    <row r="62" spans="3:51" x14ac:dyDescent="0.3">
      <c r="M62" s="212"/>
    </row>
    <row r="63" spans="3:51" x14ac:dyDescent="0.3">
      <c r="M63" s="212"/>
    </row>
    <row r="64" spans="3:51" x14ac:dyDescent="0.3">
      <c r="M64" s="212"/>
    </row>
    <row r="74" spans="1:43" x14ac:dyDescent="0.3">
      <c r="K74" s="268" t="s">
        <v>107</v>
      </c>
      <c r="L74" s="260" t="str">
        <f>Startår &amp; " - " &amp; Startår+5</f>
        <v>2022 - 2027</v>
      </c>
    </row>
    <row r="78" spans="1:43" s="196" customFormat="1" x14ac:dyDescent="0.3">
      <c r="A78" s="191"/>
      <c r="B78" s="191"/>
      <c r="C78" s="191"/>
      <c r="D78" s="191"/>
      <c r="E78" s="191"/>
      <c r="F78" s="191"/>
      <c r="G78" s="191"/>
      <c r="H78" s="191"/>
      <c r="I78" s="191"/>
      <c r="J78" s="191"/>
      <c r="K78" s="191"/>
      <c r="L78" s="191"/>
      <c r="M78" s="191"/>
      <c r="N78" s="191"/>
      <c r="O78" s="191"/>
      <c r="P78" s="191"/>
      <c r="Q78" s="191"/>
      <c r="R78" s="191"/>
      <c r="AE78" s="277"/>
      <c r="AQ78" s="277"/>
    </row>
    <row r="81" spans="1:49" x14ac:dyDescent="0.3">
      <c r="C81" s="122"/>
    </row>
    <row r="83" spans="1:49" x14ac:dyDescent="0.3">
      <c r="C83" s="122" t="s">
        <v>0</v>
      </c>
      <c r="K83" s="254"/>
      <c r="L83" s="255" t="s">
        <v>27</v>
      </c>
      <c r="M83" s="256" t="s">
        <v>34</v>
      </c>
      <c r="N83" s="255" t="s">
        <v>24</v>
      </c>
      <c r="O83" s="255" t="s">
        <v>11</v>
      </c>
    </row>
    <row r="84" spans="1:49" x14ac:dyDescent="0.3">
      <c r="C84" s="120"/>
      <c r="D84" s="290" t="s">
        <v>182</v>
      </c>
      <c r="E84"/>
      <c r="F84"/>
      <c r="G84"/>
      <c r="H84"/>
      <c r="I84"/>
      <c r="J84" s="193"/>
      <c r="K84" s="293" t="s">
        <v>72</v>
      </c>
      <c r="L84" s="294">
        <f>IFERROR(GETPIVOTDATA("[Measures].[Summan av Summa trolig]",$C$84,"[Nyttokategori].[Nyttokategori]","[Nyttokategori].[Nyttokategori].&amp;[Finansiell nytta]"),0)</f>
        <v>0</v>
      </c>
      <c r="M84" s="294">
        <f>IFERROR(GETPIVOTDATA("[Measures].[Summan av Summa trolig]",$C$84,"[Nyttokategori].[Nyttokategori]","[Nyttokategori].[Nyttokategori].&amp;[Omfördelningsnytta]"),0)</f>
        <v>44848614.513477355</v>
      </c>
      <c r="N84" s="294">
        <f>L84+M84</f>
        <v>44848614.513477355</v>
      </c>
      <c r="O84" s="294"/>
      <c r="P84" s="193"/>
      <c r="Q84" s="193"/>
      <c r="R84" s="193"/>
      <c r="S84" s="195"/>
      <c r="T84" s="195"/>
      <c r="U84" s="195"/>
      <c r="V84" s="195"/>
      <c r="W84" s="195"/>
      <c r="X84" s="195"/>
      <c r="Y84" s="195"/>
      <c r="Z84" s="195"/>
      <c r="AA84" s="195"/>
      <c r="AB84" s="195"/>
      <c r="AC84" s="195"/>
      <c r="AD84" s="195"/>
      <c r="AE84" s="295"/>
      <c r="AF84" s="195"/>
      <c r="AG84" s="195"/>
      <c r="AH84" s="195"/>
      <c r="AI84" s="195"/>
      <c r="AJ84" s="195"/>
      <c r="AK84" s="195"/>
      <c r="AL84" s="195"/>
      <c r="AM84" s="195"/>
      <c r="AN84" s="195"/>
      <c r="AO84" s="195"/>
      <c r="AP84" s="195"/>
      <c r="AQ84" s="295"/>
      <c r="AR84" s="195"/>
      <c r="AS84" s="195"/>
      <c r="AT84" s="195"/>
      <c r="AU84" s="195"/>
      <c r="AV84" s="195"/>
      <c r="AW84" s="195"/>
    </row>
    <row r="85" spans="1:49" x14ac:dyDescent="0.3">
      <c r="C85" s="290" t="s">
        <v>97</v>
      </c>
      <c r="D85" s="120" t="s">
        <v>34</v>
      </c>
      <c r="E85"/>
      <c r="F85"/>
      <c r="G85"/>
      <c r="H85"/>
      <c r="I85"/>
      <c r="K85" s="257" t="s">
        <v>75</v>
      </c>
      <c r="L85" s="258"/>
      <c r="M85" s="258"/>
      <c r="N85" s="258"/>
      <c r="O85" s="258">
        <f>IFERROR(GETPIVOTDATA("[Measures].[Summan av Summa trolig 2]",$C$96),0)</f>
        <v>4335494.1179978047</v>
      </c>
    </row>
    <row r="86" spans="1:49" x14ac:dyDescent="0.3">
      <c r="C86" s="291" t="s">
        <v>146</v>
      </c>
      <c r="D86" s="292">
        <v>8969722.9026954696</v>
      </c>
      <c r="E86"/>
      <c r="F86"/>
      <c r="G86"/>
      <c r="H86"/>
      <c r="I86"/>
    </row>
    <row r="87" spans="1:49" x14ac:dyDescent="0.3">
      <c r="C87" s="291" t="s">
        <v>145</v>
      </c>
      <c r="D87" s="292">
        <v>44848614.513477355</v>
      </c>
      <c r="E87"/>
      <c r="F87"/>
      <c r="G87"/>
      <c r="H87"/>
      <c r="I87"/>
    </row>
    <row r="88" spans="1:49" s="11" customFormat="1" x14ac:dyDescent="0.3">
      <c r="A88" s="201"/>
      <c r="B88" s="201"/>
      <c r="C88" s="291" t="s">
        <v>147</v>
      </c>
      <c r="D88" s="292">
        <v>44848614.513477355</v>
      </c>
      <c r="E88"/>
      <c r="F88"/>
      <c r="G88"/>
      <c r="H88"/>
      <c r="I88"/>
      <c r="J88" s="201"/>
      <c r="K88" s="121"/>
      <c r="L88" s="121"/>
      <c r="M88" s="121"/>
      <c r="N88" s="121"/>
      <c r="O88" s="121"/>
      <c r="P88" s="201"/>
      <c r="Q88" s="201"/>
      <c r="R88" s="121"/>
      <c r="S88" s="85"/>
      <c r="T88" s="85"/>
      <c r="V88" s="85"/>
      <c r="W88" s="85"/>
      <c r="X88" s="85"/>
      <c r="Y88" s="85"/>
      <c r="Z88" s="85"/>
      <c r="AA88" s="85"/>
      <c r="AB88" s="85"/>
      <c r="AC88" s="85"/>
      <c r="AD88" s="85"/>
      <c r="AE88" s="277"/>
      <c r="AF88" s="85"/>
      <c r="AG88" s="85"/>
      <c r="AH88" s="85"/>
      <c r="AI88" s="85"/>
      <c r="AJ88" s="85"/>
      <c r="AK88" s="85"/>
      <c r="AL88" s="85"/>
      <c r="AM88" s="85"/>
      <c r="AN88" s="85"/>
      <c r="AO88" s="85"/>
      <c r="AP88" s="85"/>
      <c r="AQ88" s="277"/>
      <c r="AR88" s="85"/>
      <c r="AS88" s="85"/>
      <c r="AT88" s="85"/>
      <c r="AU88" s="85"/>
      <c r="AV88" s="85"/>
      <c r="AW88" s="85"/>
    </row>
    <row r="89" spans="1:49" x14ac:dyDescent="0.3">
      <c r="C89"/>
      <c r="D89"/>
      <c r="E89"/>
      <c r="F89"/>
    </row>
    <row r="90" spans="1:49" x14ac:dyDescent="0.3">
      <c r="C90"/>
      <c r="D90"/>
      <c r="E90"/>
      <c r="F90"/>
    </row>
    <row r="91" spans="1:49" x14ac:dyDescent="0.3">
      <c r="C91"/>
      <c r="D91"/>
      <c r="E91"/>
      <c r="F91"/>
    </row>
    <row r="92" spans="1:49" x14ac:dyDescent="0.3">
      <c r="C92"/>
      <c r="D92"/>
      <c r="E92"/>
      <c r="F92"/>
    </row>
    <row r="93" spans="1:49" x14ac:dyDescent="0.3">
      <c r="C93"/>
      <c r="D93"/>
      <c r="E93"/>
      <c r="F93"/>
      <c r="G93" s="193"/>
      <c r="H93" s="193"/>
      <c r="I93" s="193"/>
      <c r="P93" s="193"/>
      <c r="Q93" s="193"/>
      <c r="R93" s="193"/>
      <c r="S93" s="195"/>
      <c r="T93" s="195"/>
      <c r="U93" s="195"/>
      <c r="V93" s="195"/>
      <c r="W93" s="195"/>
      <c r="X93" s="195"/>
      <c r="Y93" s="195"/>
      <c r="Z93" s="195"/>
      <c r="AA93" s="195"/>
      <c r="AC93" s="195"/>
      <c r="AD93" s="195"/>
      <c r="AF93" s="195"/>
      <c r="AG93" s="195"/>
      <c r="AH93" s="195"/>
      <c r="AI93" s="195"/>
      <c r="AJ93" s="195"/>
      <c r="AK93" s="195"/>
      <c r="AL93" s="195"/>
      <c r="AM93" s="195"/>
      <c r="AN93" s="195"/>
      <c r="AO93" s="195"/>
      <c r="AP93" s="195"/>
      <c r="AR93" s="195"/>
      <c r="AS93" s="195"/>
      <c r="AT93" s="195"/>
      <c r="AU93" s="195"/>
      <c r="AV93" s="195"/>
      <c r="AW93" s="195"/>
    </row>
    <row r="94" spans="1:49" x14ac:dyDescent="0.3">
      <c r="C94" s="290" t="s">
        <v>22</v>
      </c>
      <c r="D94" s="120" t="s" vm="4">
        <v>183</v>
      </c>
      <c r="E94"/>
      <c r="F94"/>
    </row>
    <row r="95" spans="1:49" x14ac:dyDescent="0.3">
      <c r="C95"/>
      <c r="D95"/>
      <c r="E95"/>
      <c r="F95"/>
    </row>
    <row r="96" spans="1:49" x14ac:dyDescent="0.3">
      <c r="C96" s="290" t="s">
        <v>97</v>
      </c>
      <c r="D96" s="120"/>
      <c r="E96"/>
      <c r="F96"/>
      <c r="G96"/>
      <c r="H96"/>
    </row>
    <row r="97" spans="1:43" x14ac:dyDescent="0.3">
      <c r="C97" s="291" t="s">
        <v>146</v>
      </c>
      <c r="D97" s="292">
        <v>3467456.4177369527</v>
      </c>
      <c r="E97"/>
      <c r="F97"/>
      <c r="G97"/>
      <c r="H97"/>
    </row>
    <row r="98" spans="1:43" x14ac:dyDescent="0.3">
      <c r="C98" s="291" t="s">
        <v>145</v>
      </c>
      <c r="D98" s="292">
        <v>4335494.1179978047</v>
      </c>
      <c r="E98"/>
    </row>
    <row r="99" spans="1:43" x14ac:dyDescent="0.3">
      <c r="C99" s="291" t="s">
        <v>147</v>
      </c>
      <c r="D99" s="292">
        <v>3534228.5485262489</v>
      </c>
      <c r="E99"/>
    </row>
    <row r="100" spans="1:43" x14ac:dyDescent="0.3">
      <c r="C100"/>
      <c r="D100"/>
      <c r="E100"/>
      <c r="I100" s="122"/>
    </row>
    <row r="101" spans="1:43" x14ac:dyDescent="0.3">
      <c r="C101"/>
      <c r="D101"/>
      <c r="E101"/>
    </row>
    <row r="102" spans="1:43" x14ac:dyDescent="0.3">
      <c r="C102"/>
      <c r="D102"/>
      <c r="E102"/>
    </row>
    <row r="103" spans="1:43" x14ac:dyDescent="0.3">
      <c r="C103"/>
      <c r="D103"/>
      <c r="E103"/>
    </row>
    <row r="104" spans="1:43" x14ac:dyDescent="0.3">
      <c r="C104"/>
      <c r="D104"/>
      <c r="E104"/>
      <c r="K104" s="254"/>
      <c r="L104" s="255" t="s">
        <v>27</v>
      </c>
      <c r="M104" s="256" t="s">
        <v>34</v>
      </c>
      <c r="N104" s="255" t="s">
        <v>24</v>
      </c>
      <c r="O104" s="255" t="s">
        <v>11</v>
      </c>
    </row>
    <row r="105" spans="1:43" x14ac:dyDescent="0.3">
      <c r="C105"/>
      <c r="D105"/>
      <c r="E105"/>
      <c r="K105" s="257" t="s">
        <v>71</v>
      </c>
      <c r="L105" s="258">
        <f>IFERROR(GETPIVOTDATA("[Measures].[Summan av Summa min]",$C$84,"[Nyttokategori].[Nyttokategori]","[Nyttokategori].[Nyttokategori].&amp;[Finansiell nytta]"),0)</f>
        <v>0</v>
      </c>
      <c r="M105" s="258">
        <f>IFERROR(GETPIVOTDATA("[Measures].[Summan av Summa min]",$C$84,"[Nyttokategori].[Nyttokategori]","[Nyttokategori].[Nyttokategori].&amp;[Omfördelningsnytta]"),0)</f>
        <v>8969722.9026954696</v>
      </c>
      <c r="N105" s="258">
        <f>L105+M105</f>
        <v>8969722.9026954696</v>
      </c>
      <c r="O105" s="258"/>
    </row>
    <row r="106" spans="1:43" x14ac:dyDescent="0.3">
      <c r="C106"/>
      <c r="D106"/>
      <c r="E106"/>
      <c r="K106" s="257" t="s">
        <v>72</v>
      </c>
      <c r="L106" s="258">
        <f>IFERROR(GETPIVOTDATA("[Measures].[Summan av Summa trolig]",$C$84,"[Nyttokategori].[Nyttokategori]","[Nyttokategori].[Nyttokategori].&amp;[Finansiell nytta]"),0)</f>
        <v>0</v>
      </c>
      <c r="M106" s="258">
        <f>IFERROR(GETPIVOTDATA("[Measures].[Summan av Summa trolig]",$C$84,"[Nyttokategori].[Nyttokategori]","[Nyttokategori].[Nyttokategori].&amp;[Omfördelningsnytta]"),0)</f>
        <v>44848614.513477355</v>
      </c>
      <c r="N106" s="258">
        <f>L106+M106</f>
        <v>44848614.513477355</v>
      </c>
      <c r="O106" s="258"/>
    </row>
    <row r="107" spans="1:43" s="197" customFormat="1" x14ac:dyDescent="0.3">
      <c r="A107" s="259"/>
      <c r="B107" s="259"/>
      <c r="C107"/>
      <c r="D107"/>
      <c r="E107"/>
      <c r="F107" s="259"/>
      <c r="G107" s="259"/>
      <c r="H107" s="259"/>
      <c r="I107" s="259"/>
      <c r="J107" s="259"/>
      <c r="K107" s="257" t="s">
        <v>73</v>
      </c>
      <c r="L107" s="258">
        <f>IFERROR(GETPIVOTDATA("[Measures].[Summan av Summa max]",$C$84,"[Nyttokategori].[Nyttokategori]","[Nyttokategori].[Nyttokategori].&amp;[Finansiell nytta]"),0)</f>
        <v>0</v>
      </c>
      <c r="M107" s="258">
        <f>IFERROR(GETPIVOTDATA("[Measures].[Summan av Summa max]",$C$84,"[Nyttokategori].[Nyttokategori]","[Nyttokategori].[Nyttokategori].&amp;[Omfördelningsnytta]"),0)</f>
        <v>44848614.513477355</v>
      </c>
      <c r="N107" s="258">
        <f>L107+M107</f>
        <v>44848614.513477355</v>
      </c>
      <c r="O107" s="258"/>
      <c r="P107" s="121"/>
      <c r="Q107" s="121"/>
      <c r="R107" s="259"/>
      <c r="AE107" s="279"/>
      <c r="AQ107" s="279"/>
    </row>
    <row r="108" spans="1:43" x14ac:dyDescent="0.3">
      <c r="C108"/>
      <c r="D108"/>
      <c r="E108"/>
      <c r="K108" s="257" t="s">
        <v>74</v>
      </c>
      <c r="L108" s="258"/>
      <c r="M108" s="258"/>
      <c r="N108" s="258"/>
      <c r="O108" s="258">
        <f>IFERROR(GETPIVOTDATA("[Measures].[Summan av Summa min 2]",$C$96),0)</f>
        <v>3467456.4177369527</v>
      </c>
    </row>
    <row r="109" spans="1:43" x14ac:dyDescent="0.3">
      <c r="C109"/>
      <c r="D109"/>
      <c r="E109"/>
      <c r="K109" s="257" t="s">
        <v>75</v>
      </c>
      <c r="L109" s="258"/>
      <c r="M109" s="258"/>
      <c r="N109" s="258"/>
      <c r="O109" s="258">
        <f>IFERROR(GETPIVOTDATA("[Measures].[Summan av Summa trolig 2]",$C$96),0)</f>
        <v>4335494.1179978047</v>
      </c>
    </row>
    <row r="110" spans="1:43" x14ac:dyDescent="0.3">
      <c r="C110"/>
      <c r="D110"/>
      <c r="E110"/>
      <c r="K110" s="257" t="s">
        <v>76</v>
      </c>
      <c r="L110" s="258"/>
      <c r="M110" s="258"/>
      <c r="N110" s="258"/>
      <c r="O110" s="258">
        <f>GETPIVOTDATA("[Measures].[Summan av Summa max 2]",$C$96)</f>
        <v>3534228.5485262489</v>
      </c>
    </row>
    <row r="111" spans="1:43" x14ac:dyDescent="0.3">
      <c r="C111"/>
      <c r="D111"/>
      <c r="E111"/>
    </row>
    <row r="112" spans="1:43" x14ac:dyDescent="0.3">
      <c r="C112"/>
      <c r="D112"/>
      <c r="E112"/>
    </row>
    <row r="113" spans="3:47" x14ac:dyDescent="0.3">
      <c r="C113"/>
      <c r="D113"/>
      <c r="E113"/>
    </row>
    <row r="123" spans="3:47" x14ac:dyDescent="0.3">
      <c r="AF123" s="254"/>
      <c r="AG123" s="255" t="s">
        <v>12</v>
      </c>
      <c r="AH123" s="256" t="s">
        <v>11</v>
      </c>
      <c r="AI123" s="255" t="s">
        <v>6</v>
      </c>
      <c r="AR123" s="254"/>
      <c r="AS123" s="255" t="s">
        <v>12</v>
      </c>
      <c r="AT123" s="256" t="s">
        <v>11</v>
      </c>
      <c r="AU123" s="255" t="s">
        <v>6</v>
      </c>
    </row>
    <row r="124" spans="3:47" x14ac:dyDescent="0.3">
      <c r="AF124" s="257" t="s">
        <v>2</v>
      </c>
      <c r="AG124" s="258">
        <f>IFERROR(GETPIVOTDATA("[Measures].[Summan av Summa min]",$C$84,"[Nyttokategori].[Nyttokategori]","[Nyttokategori].[Nyttokategori].&amp;[Finansiell nytta]"),0)</f>
        <v>0</v>
      </c>
      <c r="AH124" s="258">
        <f>IFERROR(GETPIVOTDATA("[Measures].[Summan av Summa min 2]",$C$96),0)</f>
        <v>3467456.4177369527</v>
      </c>
      <c r="AI124" s="258">
        <f>AG124-AH126</f>
        <v>-3534228.5485262489</v>
      </c>
      <c r="AR124" s="257" t="s">
        <v>2</v>
      </c>
      <c r="AS124" s="258">
        <f>IFERROR(GETPIVOTDATA("[Measures].[Summan av Summa min]",$C$84,"[Nyttokategori].[Nyttokategori]","[Nyttokategori].[Nyttokategori].&amp;[Omfördelningsnytta]"),0)</f>
        <v>8969722.9026954696</v>
      </c>
      <c r="AT124" s="258">
        <f>IFERROR(GETPIVOTDATA("[Measures].[Summan av Summa min 2]",$C$96),0)</f>
        <v>3467456.4177369527</v>
      </c>
      <c r="AU124" s="258">
        <f>AS124-AT126</f>
        <v>5435494.3541692207</v>
      </c>
    </row>
    <row r="125" spans="3:47" x14ac:dyDescent="0.3">
      <c r="AF125" s="257" t="s">
        <v>15</v>
      </c>
      <c r="AG125" s="258">
        <f>IFERROR(GETPIVOTDATA("[Measures].[Summan av Summa trolig]",$C$84,"[Nyttokategori].[Nyttokategori]","[Nyttokategori].[Nyttokategori].&amp;[Finansiell nytta]"),0)</f>
        <v>0</v>
      </c>
      <c r="AH125" s="258">
        <f>IFERROR(GETPIVOTDATA("[Measures].[Summan av Summa trolig 2]",$C$96),0)</f>
        <v>4335494.1179978047</v>
      </c>
      <c r="AI125" s="258">
        <f>AG125-AH125</f>
        <v>-4335494.1179978047</v>
      </c>
      <c r="AR125" s="257" t="s">
        <v>15</v>
      </c>
      <c r="AS125" s="258">
        <f>IFERROR(GETPIVOTDATA("[Measures].[Summan av Summa trolig]",$C$84,"[Nyttokategori].[Nyttokategori]","[Nyttokategori].[Nyttokategori].&amp;[Omfördelningsnytta]"),0)</f>
        <v>44848614.513477355</v>
      </c>
      <c r="AT125" s="258">
        <f>IFERROR(GETPIVOTDATA("[Measures].[Summan av Summa trolig 2]",$C$96),0)</f>
        <v>4335494.1179978047</v>
      </c>
      <c r="AU125" s="258">
        <f>AS125-AT125</f>
        <v>40513120.395479552</v>
      </c>
    </row>
    <row r="126" spans="3:47" x14ac:dyDescent="0.3">
      <c r="AF126" s="257" t="s">
        <v>3</v>
      </c>
      <c r="AG126" s="258">
        <f>IFERROR(GETPIVOTDATA("[Measures].[Summan av Summa max]",$C$84,"[Nyttokategori].[Nyttokategori]","[Nyttokategori].[Nyttokategori].&amp;[Finansiell nytta]"),0)</f>
        <v>0</v>
      </c>
      <c r="AH126" s="258">
        <f>IFERROR(GETPIVOTDATA("[Measures].[Summan av Summa max 2]",$C$96),0)</f>
        <v>3534228.5485262489</v>
      </c>
      <c r="AI126" s="258">
        <f>AG126-AH124</f>
        <v>-3467456.4177369527</v>
      </c>
      <c r="AR126" s="257" t="s">
        <v>3</v>
      </c>
      <c r="AS126" s="258">
        <f>IFERROR(GETPIVOTDATA("[Measures].[Summan av Summa max]",$C$84,"[Nyttokategori].[Nyttokategori]","[Nyttokategori].[Nyttokategori].&amp;[Omfördelningsnytta]"),0)</f>
        <v>44848614.513477355</v>
      </c>
      <c r="AT126" s="258">
        <f>IFERROR(GETPIVOTDATA("[Measures].[Summan av Summa max 2]",$C$96),0)</f>
        <v>3534228.5485262489</v>
      </c>
      <c r="AU126" s="258">
        <f>AS126-AT124</f>
        <v>41381158.0957404</v>
      </c>
    </row>
    <row r="127" spans="3:47" x14ac:dyDescent="0.3">
      <c r="K127" s="254"/>
      <c r="L127" s="255" t="s">
        <v>12</v>
      </c>
      <c r="M127" s="256" t="s">
        <v>11</v>
      </c>
      <c r="N127" s="255" t="s">
        <v>6</v>
      </c>
    </row>
    <row r="128" spans="3:47" x14ac:dyDescent="0.3">
      <c r="K128" s="257" t="s">
        <v>2</v>
      </c>
      <c r="L128" s="258">
        <f>IFERROR(GETPIVOTDATA("[Measures].[Summan av Summa min]",$C$84,"[Nyttokategori].[Nyttokategori]","[Nyttokategori].[Nyttokategori].&amp;[Finansiell nytta]"),0)+IFERROR(GETPIVOTDATA("[Measures].[Summan av Summa min]",$C$84,"[Nyttokategori].[Nyttokategori]","[Nyttokategori].[Nyttokategori].&amp;[Omfördelningsnytta]"),0)</f>
        <v>8969722.9026954696</v>
      </c>
      <c r="M128" s="258">
        <f>IFERROR(GETPIVOTDATA("[Measures].[Summan av Summa min 2]",$C$96),0)</f>
        <v>3467456.4177369527</v>
      </c>
      <c r="N128" s="258">
        <f>L128-M130</f>
        <v>5435494.3541692207</v>
      </c>
    </row>
    <row r="129" spans="1:18" x14ac:dyDescent="0.3">
      <c r="K129" s="257" t="s">
        <v>15</v>
      </c>
      <c r="L129" s="258">
        <f>IFERROR(GETPIVOTDATA("[Measures].[Summan av Summa trolig]",$C$84,"[Nyttokategori].[Nyttokategori]","[Nyttokategori].[Nyttokategori].&amp;[Finansiell nytta]"),0)+IFERROR(GETPIVOTDATA("[Measures].[Summan av Summa trolig]",$C$84,"[Nyttokategori].[Nyttokategori]","[Nyttokategori].[Nyttokategori].&amp;[Omfördelningsnytta]"),0)</f>
        <v>44848614.513477355</v>
      </c>
      <c r="M129" s="258">
        <f>IFERROR(GETPIVOTDATA("[Measures].[Summan av Summa trolig 2]",$C$96),0)</f>
        <v>4335494.1179978047</v>
      </c>
      <c r="N129" s="258">
        <f>L129-M129</f>
        <v>40513120.395479552</v>
      </c>
    </row>
    <row r="130" spans="1:18" x14ac:dyDescent="0.3">
      <c r="K130" s="257" t="s">
        <v>3</v>
      </c>
      <c r="L130" s="258">
        <f>IFERROR(GETPIVOTDATA("[Measures].[Summan av Summa max]",$C$84,"[Nyttokategori].[Nyttokategori]","[Nyttokategori].[Nyttokategori].&amp;[Finansiell nytta]"),0)+IFERROR(GETPIVOTDATA("[Measures].[Summan av Summa max]",$C$84,"[Nyttokategori].[Nyttokategori]","[Nyttokategori].[Nyttokategori].&amp;[Omfördelningsnytta]"),0)</f>
        <v>44848614.513477355</v>
      </c>
      <c r="M130" s="258">
        <f>IFERROR(GETPIVOTDATA("[Measures].[Summan av Summa max 2]",$C$96),0)</f>
        <v>3534228.5485262489</v>
      </c>
      <c r="N130" s="258">
        <f>L130-M128</f>
        <v>41381158.0957404</v>
      </c>
    </row>
    <row r="143" spans="1:18" s="196" customFormat="1" x14ac:dyDescent="0.3">
      <c r="A143" s="191"/>
      <c r="B143" s="191"/>
      <c r="C143" s="191"/>
      <c r="D143" s="191"/>
      <c r="E143" s="191"/>
      <c r="F143" s="191"/>
      <c r="G143" s="191"/>
      <c r="H143" s="191"/>
      <c r="I143" s="191"/>
      <c r="J143" s="191"/>
      <c r="K143" s="191"/>
      <c r="L143" s="191"/>
      <c r="M143" s="191"/>
      <c r="N143" s="191"/>
      <c r="O143" s="191"/>
      <c r="P143" s="191"/>
      <c r="Q143" s="191"/>
      <c r="R143" s="191"/>
    </row>
    <row r="144" spans="1:18" x14ac:dyDescent="0.3">
      <c r="C144" s="122" t="s">
        <v>122</v>
      </c>
    </row>
    <row r="145" spans="3:17" x14ac:dyDescent="0.3">
      <c r="C145" s="120" t="s">
        <v>148</v>
      </c>
      <c r="D145" s="120" t="s">
        <v>149</v>
      </c>
      <c r="E145" s="120" t="s">
        <v>150</v>
      </c>
      <c r="F145" s="120" t="s">
        <v>151</v>
      </c>
      <c r="G145" s="120" t="s">
        <v>152</v>
      </c>
      <c r="H145" s="120" t="s">
        <v>153</v>
      </c>
      <c r="I145"/>
      <c r="J145"/>
      <c r="K145" s="193"/>
      <c r="L145" s="193"/>
      <c r="M145" s="193"/>
      <c r="N145" s="193"/>
      <c r="O145" s="193"/>
    </row>
    <row r="146" spans="3:17" x14ac:dyDescent="0.3">
      <c r="C146" s="292">
        <v>0</v>
      </c>
      <c r="D146" s="292">
        <v>9507669.9029126205</v>
      </c>
      <c r="E146" s="292">
        <v>9230747.4785559438</v>
      </c>
      <c r="F146" s="292">
        <v>8961890.7558795568</v>
      </c>
      <c r="G146" s="292">
        <v>8700864.8115335498</v>
      </c>
      <c r="H146" s="292">
        <v>8447441.5645956807</v>
      </c>
      <c r="I146" s="1"/>
      <c r="J146" s="1"/>
      <c r="K146" s="193"/>
      <c r="L146" s="296" t="s">
        <v>110</v>
      </c>
      <c r="M146" s="296" t="s">
        <v>111</v>
      </c>
      <c r="N146" s="296" t="s">
        <v>112</v>
      </c>
      <c r="O146" s="296" t="s">
        <v>113</v>
      </c>
      <c r="P146" s="296" t="s">
        <v>114</v>
      </c>
      <c r="Q146" s="296" t="s">
        <v>115</v>
      </c>
    </row>
    <row r="147" spans="3:17" x14ac:dyDescent="0.3">
      <c r="C147" s="120" t="s">
        <v>154</v>
      </c>
      <c r="D147" s="120" t="s">
        <v>155</v>
      </c>
      <c r="E147" s="120" t="s">
        <v>156</v>
      </c>
      <c r="F147" s="120" t="s">
        <v>157</v>
      </c>
      <c r="G147" s="120" t="s">
        <v>158</v>
      </c>
      <c r="H147" s="120" t="s">
        <v>159</v>
      </c>
      <c r="I147"/>
      <c r="J147" s="1"/>
      <c r="K147" s="298" t="s">
        <v>120</v>
      </c>
      <c r="L147" s="297">
        <f>L149+L151</f>
        <v>-1960000</v>
      </c>
      <c r="M147" s="297">
        <f>L147+(M149+M151)</f>
        <v>7228097.0873786397</v>
      </c>
      <c r="N147" s="297">
        <f t="shared" ref="N147:Q148" si="13">M147+(N149+N151)</f>
        <v>16148579.696484117</v>
      </c>
      <c r="O147" s="297">
        <f>N147+(O149+O151)</f>
        <v>24809242.423770986</v>
      </c>
      <c r="P147" s="297">
        <f t="shared" si="13"/>
        <v>33217652.838612609</v>
      </c>
      <c r="Q147" s="297">
        <f t="shared" si="13"/>
        <v>41381158.0957404</v>
      </c>
    </row>
    <row r="148" spans="3:17" x14ac:dyDescent="0.3">
      <c r="C148" s="292">
        <v>0</v>
      </c>
      <c r="D148" s="292">
        <v>1901533.9805825243</v>
      </c>
      <c r="E148" s="292">
        <v>1846149.4957111888</v>
      </c>
      <c r="F148" s="292">
        <v>1792378.1511759113</v>
      </c>
      <c r="G148" s="292">
        <v>1740172.9623067102</v>
      </c>
      <c r="H148" s="292">
        <v>1689488.3129191361</v>
      </c>
      <c r="I148"/>
      <c r="J148"/>
      <c r="K148" s="298" t="s">
        <v>121</v>
      </c>
      <c r="L148" s="297">
        <f>L150+L152</f>
        <v>-1960000</v>
      </c>
      <c r="M148" s="297">
        <f>L148+(M150+M152)</f>
        <v>-392194.17475728155</v>
      </c>
      <c r="N148" s="297">
        <f t="shared" si="13"/>
        <v>1129947.4031482704</v>
      </c>
      <c r="O148" s="297">
        <f t="shared" si="13"/>
        <v>2607754.7603381267</v>
      </c>
      <c r="P148" s="297">
        <f t="shared" si="13"/>
        <v>4042519.1847942979</v>
      </c>
      <c r="Q148" s="297">
        <f>P148+(Q150+Q152)</f>
        <v>5435494.3541692216</v>
      </c>
    </row>
    <row r="149" spans="3:17" x14ac:dyDescent="0.3">
      <c r="C149"/>
      <c r="D149"/>
      <c r="E149"/>
      <c r="I149" s="193"/>
      <c r="J149" s="193"/>
      <c r="K149" s="273" t="s">
        <v>118</v>
      </c>
      <c r="L149" s="266">
        <f>IFERROR(GETPIVOTDATA("[Measures].[Summan av Max år 1]",$C$145),0)</f>
        <v>0</v>
      </c>
      <c r="M149" s="266">
        <f>IFERROR(GETPIVOTDATA("[Measures].[Summan av Max år 2]",$C$145),0)</f>
        <v>9507669.9029126205</v>
      </c>
      <c r="N149" s="266">
        <f>IFERROR(GETPIVOTDATA("[Measures].[Summan av Max år 3]",$C$145),0)</f>
        <v>9230747.4785559438</v>
      </c>
      <c r="O149" s="266">
        <f>IFERROR(GETPIVOTDATA("[Measures].[Summan av Max år 4]",$C$145),0)</f>
        <v>8961890.7558795568</v>
      </c>
      <c r="P149" s="266">
        <f>IFERROR(GETPIVOTDATA("[Measures].[Summan av Max år 5]",$C$145),0)</f>
        <v>8700864.8115335498</v>
      </c>
      <c r="Q149" s="266">
        <f>IFERROR(GETPIVOTDATA("[Measures].[Summan av Max år 6]",$C$145),0)</f>
        <v>8447441.5645956807</v>
      </c>
    </row>
    <row r="150" spans="3:17" x14ac:dyDescent="0.3">
      <c r="C150"/>
      <c r="D150"/>
      <c r="K150" s="274" t="s">
        <v>119</v>
      </c>
      <c r="L150" s="266">
        <f>IFERROR(GETPIVOTDATA("[Measures].[Summan av Min år 1]",$C$147),0)</f>
        <v>0</v>
      </c>
      <c r="M150" s="266">
        <f>IFERROR(GETPIVOTDATA("[Measures].[Summan av Min år 2]",$C$147),0)</f>
        <v>1901533.9805825243</v>
      </c>
      <c r="N150" s="266">
        <f>IFERROR(GETPIVOTDATA("[Measures].[Summan av Min år 3]",$C$147),0)</f>
        <v>1846149.4957111888</v>
      </c>
      <c r="O150" s="266">
        <f>IFERROR(GETPIVOTDATA("[Measures].[Summan av Min år 4]",$C$147),0)</f>
        <v>1792378.1511759113</v>
      </c>
      <c r="P150" s="266">
        <f>IFERROR(GETPIVOTDATA("[Measures].[Summan av Min år 5]",$C$147),0)</f>
        <v>1740172.9623067102</v>
      </c>
      <c r="Q150" s="266">
        <f>IFERROR(GETPIVOTDATA("[Measures].[Summan av Min år 6]",$C$147),0)</f>
        <v>1689488.3129191361</v>
      </c>
    </row>
    <row r="151" spans="3:17" x14ac:dyDescent="0.3">
      <c r="C151" s="120" t="s">
        <v>154</v>
      </c>
      <c r="D151" s="120" t="s">
        <v>155</v>
      </c>
      <c r="E151" s="120" t="s">
        <v>156</v>
      </c>
      <c r="F151" s="120" t="s">
        <v>157</v>
      </c>
      <c r="G151" s="120" t="s">
        <v>158</v>
      </c>
      <c r="H151" s="120" t="s">
        <v>159</v>
      </c>
      <c r="I151"/>
      <c r="J151" s="193"/>
      <c r="K151" s="274" t="s">
        <v>116</v>
      </c>
      <c r="L151" s="266">
        <f>IFERROR(-GETPIVOTDATA("[Measures].[Summan av Min år 1 2]",$C$151),0)</f>
        <v>-1960000</v>
      </c>
      <c r="M151" s="266">
        <f>IFERROR(-GETPIVOTDATA("[Measures].[Summan av Min år 2 2]",$C$151),0)</f>
        <v>-319572.81553398055</v>
      </c>
      <c r="N151" s="266">
        <f>IFERROR(-GETPIVOTDATA("[Measures].[Summan av Min år 3 2]",$C$151),0)</f>
        <v>-310264.86945046659</v>
      </c>
      <c r="O151" s="266">
        <f>IFERROR(-GETPIVOTDATA("[Measures].[Summan av Min år 4 2]",$C$151),0)</f>
        <v>-301228.02859268599</v>
      </c>
      <c r="P151" s="266">
        <f>IFERROR(-GETPIVOTDATA("[Measures].[Summan av Min år 5 2]",$C$151),0)</f>
        <v>-292454.39669192821</v>
      </c>
      <c r="Q151" s="266">
        <f>IFERROR(-GETPIVOTDATA("[Measures].[Summan av Min år 6 2]",$C$151),0)</f>
        <v>-283936.30746789149</v>
      </c>
    </row>
    <row r="152" spans="3:17" x14ac:dyDescent="0.3">
      <c r="C152" s="292">
        <v>1960000</v>
      </c>
      <c r="D152" s="292">
        <v>319572.81553398055</v>
      </c>
      <c r="E152" s="292">
        <v>310264.86945046659</v>
      </c>
      <c r="F152" s="292">
        <v>301228.02859268599</v>
      </c>
      <c r="G152" s="292">
        <v>292454.39669192821</v>
      </c>
      <c r="H152" s="292">
        <v>283936.30746789149</v>
      </c>
      <c r="I152"/>
      <c r="K152" s="273" t="s">
        <v>117</v>
      </c>
      <c r="L152" s="266">
        <f>IFERROR(-GETPIVOTDATA("[Measures].[Summan av Max år 1 2]",$C$153),0)</f>
        <v>-1960000</v>
      </c>
      <c r="M152" s="266">
        <f>IFERROR(-GETPIVOTDATA("[Measures].[Summan av Max år 2 2]",$C$153),0)</f>
        <v>-333728.15533980582</v>
      </c>
      <c r="N152" s="266">
        <f>IFERROR(-GETPIVOTDATA("[Measures].[Summan av Max år 3 2]",$C$153),0)</f>
        <v>-324007.91780563671</v>
      </c>
      <c r="O152" s="266">
        <f>IFERROR(-GETPIVOTDATA("[Measures].[Summan av Max år 4 2]",$C$153),0)</f>
        <v>-314570.79398605507</v>
      </c>
      <c r="P152" s="266">
        <f>IFERROR(-GETPIVOTDATA("[Measures].[Summan av Max år 5 2]",$C$153),0)</f>
        <v>-305408.53785053891</v>
      </c>
      <c r="Q152" s="266">
        <f>IFERROR(-GETPIVOTDATA("[Measures].[Summan av Max år 6 2]",$C$153),0)</f>
        <v>-296513.14354421257</v>
      </c>
    </row>
    <row r="153" spans="3:17" x14ac:dyDescent="0.3">
      <c r="C153" s="120" t="s">
        <v>148</v>
      </c>
      <c r="D153" s="120" t="s">
        <v>149</v>
      </c>
      <c r="E153" s="120" t="s">
        <v>150</v>
      </c>
      <c r="F153" s="120" t="s">
        <v>151</v>
      </c>
      <c r="G153" s="120" t="s">
        <v>152</v>
      </c>
      <c r="H153" s="120" t="s">
        <v>153</v>
      </c>
      <c r="I153"/>
      <c r="J153" s="193"/>
      <c r="K153" s="193"/>
      <c r="L153" s="193"/>
      <c r="M153" s="193"/>
      <c r="N153" s="193"/>
      <c r="O153" s="193"/>
      <c r="P153" s="193"/>
      <c r="Q153" s="193"/>
    </row>
    <row r="154" spans="3:17" x14ac:dyDescent="0.3">
      <c r="C154" s="292">
        <v>1960000</v>
      </c>
      <c r="D154" s="292">
        <v>333728.15533980582</v>
      </c>
      <c r="E154" s="292">
        <v>324007.91780563671</v>
      </c>
      <c r="F154" s="292">
        <v>314570.79398605507</v>
      </c>
      <c r="G154" s="292">
        <v>305408.53785053891</v>
      </c>
      <c r="H154" s="292">
        <v>296513.14354421257</v>
      </c>
      <c r="I154" s="1"/>
      <c r="J154" s="193"/>
      <c r="K154" s="193"/>
      <c r="L154" s="193"/>
      <c r="M154" s="193"/>
      <c r="N154" s="193"/>
      <c r="O154" s="193"/>
      <c r="P154" s="193"/>
      <c r="Q154" s="193"/>
    </row>
    <row r="155" spans="3:17" x14ac:dyDescent="0.3">
      <c r="C155"/>
      <c r="D155"/>
      <c r="E155"/>
      <c r="F155"/>
      <c r="G155"/>
      <c r="H155"/>
      <c r="I155"/>
    </row>
    <row r="156" spans="3:17" x14ac:dyDescent="0.3">
      <c r="C156"/>
      <c r="D156"/>
      <c r="E156"/>
      <c r="F156"/>
      <c r="G156"/>
      <c r="H156"/>
      <c r="I156"/>
    </row>
    <row r="157" spans="3:17" x14ac:dyDescent="0.3">
      <c r="C157"/>
      <c r="D157"/>
      <c r="E157"/>
      <c r="I157"/>
    </row>
    <row r="158" spans="3:17" x14ac:dyDescent="0.3">
      <c r="C158"/>
      <c r="D158"/>
      <c r="E158"/>
      <c r="I158"/>
    </row>
    <row r="159" spans="3:17" x14ac:dyDescent="0.3">
      <c r="C159"/>
      <c r="D159"/>
      <c r="E159"/>
    </row>
    <row r="160" spans="3:17" x14ac:dyDescent="0.3">
      <c r="C160"/>
      <c r="D160"/>
      <c r="E160"/>
    </row>
    <row r="161" spans="1:46" x14ac:dyDescent="0.3">
      <c r="C161"/>
      <c r="D161"/>
      <c r="E161"/>
    </row>
    <row r="162" spans="1:46" x14ac:dyDescent="0.3">
      <c r="C162"/>
      <c r="D162"/>
      <c r="E162"/>
    </row>
    <row r="163" spans="1:46" s="196" customFormat="1" x14ac:dyDescent="0.3">
      <c r="A163" s="191"/>
      <c r="B163" s="191"/>
      <c r="C163" s="299"/>
      <c r="D163" s="299"/>
      <c r="E163" s="299"/>
      <c r="F163" s="191"/>
      <c r="G163" s="191"/>
      <c r="H163" s="191"/>
      <c r="I163" s="191"/>
      <c r="J163" s="191"/>
      <c r="K163" s="191"/>
      <c r="L163" s="191"/>
      <c r="M163" s="191"/>
      <c r="N163" s="191"/>
      <c r="O163" s="191"/>
      <c r="P163" s="191"/>
      <c r="Q163" s="191"/>
      <c r="R163" s="191"/>
    </row>
    <row r="164" spans="1:46" x14ac:dyDescent="0.3">
      <c r="C164"/>
      <c r="D164"/>
      <c r="E164"/>
    </row>
    <row r="165" spans="1:46" x14ac:dyDescent="0.3">
      <c r="C165"/>
      <c r="D165"/>
      <c r="E165"/>
      <c r="Q165" s="259"/>
    </row>
    <row r="166" spans="1:46" x14ac:dyDescent="0.3">
      <c r="C166"/>
      <c r="D166"/>
      <c r="E166"/>
    </row>
    <row r="167" spans="1:46" x14ac:dyDescent="0.3">
      <c r="C167"/>
      <c r="D167"/>
      <c r="E167"/>
    </row>
    <row r="168" spans="1:46" x14ac:dyDescent="0.3">
      <c r="C168"/>
      <c r="D168"/>
      <c r="E168"/>
      <c r="AG168" s="121"/>
      <c r="AH168" s="121"/>
      <c r="AI168" s="121"/>
      <c r="AJ168" s="121"/>
      <c r="AK168" s="121"/>
      <c r="AL168" s="121"/>
      <c r="AM168" s="259"/>
      <c r="AN168" s="121"/>
    </row>
    <row r="169" spans="1:46" x14ac:dyDescent="0.3">
      <c r="C169"/>
      <c r="D169"/>
      <c r="E169"/>
      <c r="AG169" s="121"/>
      <c r="AH169" s="121"/>
      <c r="AI169" s="121"/>
      <c r="AJ169" s="121"/>
      <c r="AK169" s="121"/>
      <c r="AL169" s="121"/>
      <c r="AM169" s="121"/>
      <c r="AN169" s="121"/>
      <c r="AS169" s="290" t="s">
        <v>17</v>
      </c>
      <c r="AT169" s="120" t="s" vm="3">
        <v>34</v>
      </c>
    </row>
    <row r="170" spans="1:46" x14ac:dyDescent="0.3">
      <c r="C170"/>
      <c r="D170"/>
      <c r="E170"/>
      <c r="F170" s="85"/>
      <c r="G170" s="85"/>
      <c r="AG170" s="121"/>
      <c r="AH170" s="121"/>
      <c r="AI170" s="121"/>
      <c r="AJ170" s="121"/>
      <c r="AK170" s="121"/>
      <c r="AL170" s="121"/>
      <c r="AM170" s="121"/>
      <c r="AN170" s="121"/>
      <c r="AS170" s="259"/>
      <c r="AT170" s="121"/>
    </row>
    <row r="171" spans="1:46" x14ac:dyDescent="0.3">
      <c r="C171"/>
      <c r="D171"/>
      <c r="E171"/>
      <c r="F171" s="85"/>
      <c r="G171" s="85"/>
      <c r="AG171" s="121"/>
      <c r="AH171" s="121"/>
      <c r="AI171" s="121"/>
      <c r="AJ171" s="121"/>
      <c r="AK171" s="121"/>
      <c r="AL171" s="121"/>
      <c r="AM171" s="121"/>
      <c r="AN171" s="121"/>
      <c r="AS171" s="290" t="s">
        <v>184</v>
      </c>
      <c r="AT171" s="120" t="s">
        <v>145</v>
      </c>
    </row>
    <row r="172" spans="1:46" x14ac:dyDescent="0.3">
      <c r="C172" s="85"/>
      <c r="D172" s="85"/>
      <c r="F172" s="85"/>
      <c r="G172" s="85"/>
      <c r="L172" s="122"/>
      <c r="AG172" s="121"/>
      <c r="AH172" s="121"/>
      <c r="AI172" s="121"/>
      <c r="AJ172" s="121"/>
      <c r="AK172" s="121"/>
      <c r="AL172" s="121"/>
      <c r="AM172" s="121"/>
      <c r="AN172" s="121"/>
      <c r="AS172" s="291" t="s">
        <v>69</v>
      </c>
      <c r="AT172" s="292">
        <v>44848614.513477355</v>
      </c>
    </row>
    <row r="173" spans="1:46" x14ac:dyDescent="0.3">
      <c r="C173" s="85"/>
      <c r="D173" s="85"/>
      <c r="F173" s="85"/>
      <c r="G173" s="85"/>
      <c r="K173" s="290" t="s">
        <v>17</v>
      </c>
      <c r="L173" s="120" t="s" vm="2">
        <v>183</v>
      </c>
      <c r="AG173" s="121"/>
      <c r="AH173" s="121"/>
      <c r="AI173" s="121"/>
      <c r="AJ173" s="121"/>
      <c r="AK173" s="121"/>
      <c r="AL173" s="121"/>
      <c r="AM173" s="121"/>
      <c r="AN173" s="121"/>
    </row>
    <row r="174" spans="1:46" x14ac:dyDescent="0.3">
      <c r="C174" s="85"/>
      <c r="D174" s="85"/>
      <c r="F174" s="85"/>
      <c r="G174" s="85"/>
      <c r="I174" s="259"/>
      <c r="J174" s="259"/>
      <c r="K174" s="259"/>
      <c r="AG174" s="121"/>
      <c r="AH174" s="121"/>
      <c r="AI174" s="121"/>
      <c r="AJ174" s="121"/>
      <c r="AK174" s="121"/>
      <c r="AL174" s="121"/>
      <c r="AM174" s="121"/>
      <c r="AN174" s="121"/>
      <c r="AS174"/>
      <c r="AT174"/>
    </row>
    <row r="175" spans="1:46" x14ac:dyDescent="0.3">
      <c r="C175" s="85"/>
      <c r="D175" s="85"/>
      <c r="F175" s="85"/>
      <c r="G175" s="85"/>
      <c r="K175" s="290" t="s">
        <v>184</v>
      </c>
      <c r="L175" s="120" t="s">
        <v>145</v>
      </c>
      <c r="M175"/>
      <c r="AG175" s="121"/>
      <c r="AH175" s="122"/>
      <c r="AI175" s="121"/>
      <c r="AJ175" s="121"/>
      <c r="AK175" s="121"/>
      <c r="AL175" s="121"/>
      <c r="AM175" s="121"/>
      <c r="AN175" s="121"/>
      <c r="AS175"/>
      <c r="AT175"/>
    </row>
    <row r="176" spans="1:46" x14ac:dyDescent="0.3">
      <c r="C176" s="85"/>
      <c r="D176" s="85"/>
      <c r="F176" s="85"/>
      <c r="G176" s="85"/>
      <c r="K176" s="291" t="s">
        <v>69</v>
      </c>
      <c r="L176" s="292">
        <v>44848614.513477355</v>
      </c>
      <c r="M176"/>
      <c r="O176" s="193"/>
      <c r="P176" s="193"/>
      <c r="Q176" s="193"/>
      <c r="R176" s="193"/>
      <c r="S176" s="195"/>
      <c r="T176" s="195"/>
      <c r="U176" s="195"/>
      <c r="V176" s="195"/>
      <c r="W176" s="195"/>
      <c r="X176" s="195"/>
      <c r="Y176" s="195"/>
      <c r="Z176" s="195"/>
      <c r="AA176" s="195"/>
      <c r="AB176" s="195"/>
      <c r="AC176" s="195"/>
      <c r="AD176" s="195"/>
      <c r="AE176" s="295"/>
      <c r="AG176" s="290" t="s">
        <v>17</v>
      </c>
      <c r="AH176" s="120" t="s" vm="1">
        <v>27</v>
      </c>
      <c r="AI176" s="121"/>
      <c r="AJ176" s="121"/>
      <c r="AK176" s="121"/>
      <c r="AL176" s="121"/>
      <c r="AM176" s="121"/>
      <c r="AN176" s="121"/>
      <c r="AO176" s="195"/>
      <c r="AP176" s="195"/>
      <c r="AQ176" s="295"/>
      <c r="AS176"/>
      <c r="AT176"/>
    </row>
    <row r="177" spans="1:46" x14ac:dyDescent="0.3">
      <c r="C177" s="85"/>
      <c r="D177" s="85"/>
      <c r="F177" s="85"/>
      <c r="G177" s="85"/>
      <c r="K177"/>
      <c r="L177"/>
      <c r="M177"/>
      <c r="AG177" s="259"/>
      <c r="AH177" s="121"/>
      <c r="AI177" s="121"/>
      <c r="AJ177" s="121"/>
      <c r="AK177" s="121"/>
      <c r="AL177" s="121"/>
      <c r="AM177" s="121"/>
      <c r="AN177" s="121"/>
      <c r="AS177"/>
      <c r="AT177"/>
    </row>
    <row r="178" spans="1:46" x14ac:dyDescent="0.3">
      <c r="C178" s="85"/>
      <c r="D178" s="85"/>
      <c r="F178" s="85"/>
      <c r="G178" s="85"/>
      <c r="H178" s="85"/>
      <c r="K178"/>
      <c r="L178"/>
      <c r="M178"/>
      <c r="AG178" s="290" t="s">
        <v>184</v>
      </c>
      <c r="AH178" s="120" t="s">
        <v>145</v>
      </c>
      <c r="AI178" s="1"/>
      <c r="AJ178" s="193"/>
      <c r="AK178" s="193"/>
      <c r="AL178" s="193"/>
      <c r="AM178" s="193"/>
      <c r="AN178" s="193"/>
      <c r="AO178" s="195"/>
      <c r="AP178" s="195"/>
      <c r="AQ178" s="295"/>
      <c r="AR178" s="195"/>
      <c r="AS178" s="1"/>
      <c r="AT178" s="1"/>
    </row>
    <row r="179" spans="1:46" x14ac:dyDescent="0.3">
      <c r="H179" s="85"/>
      <c r="K179"/>
      <c r="L179"/>
      <c r="M179"/>
      <c r="AG179"/>
      <c r="AH179"/>
      <c r="AI179"/>
      <c r="AJ179" s="121"/>
      <c r="AK179" s="121"/>
      <c r="AL179" s="121"/>
      <c r="AM179" s="121"/>
      <c r="AN179" s="121"/>
      <c r="AS179"/>
      <c r="AT179"/>
    </row>
    <row r="180" spans="1:46" x14ac:dyDescent="0.3">
      <c r="H180" s="85"/>
      <c r="I180" s="85"/>
      <c r="J180" s="85"/>
      <c r="K180" s="85"/>
      <c r="L180"/>
      <c r="M180"/>
      <c r="N180" s="85"/>
      <c r="AG180"/>
      <c r="AH180"/>
      <c r="AI180"/>
      <c r="AJ180" s="121"/>
      <c r="AK180" s="121"/>
      <c r="AL180" s="121"/>
      <c r="AM180" s="121"/>
      <c r="AN180" s="121"/>
    </row>
    <row r="181" spans="1:46" x14ac:dyDescent="0.3">
      <c r="H181" s="85"/>
      <c r="I181" s="85"/>
      <c r="J181" s="85"/>
      <c r="K181" s="85"/>
      <c r="L181"/>
      <c r="M181"/>
      <c r="N181" s="85"/>
      <c r="AG181"/>
      <c r="AH181"/>
      <c r="AI181"/>
      <c r="AJ181" s="121"/>
      <c r="AK181" s="121"/>
      <c r="AL181" s="121"/>
      <c r="AM181" s="121"/>
      <c r="AN181" s="121"/>
    </row>
    <row r="182" spans="1:46" x14ac:dyDescent="0.3">
      <c r="H182" s="85"/>
      <c r="I182" s="85"/>
      <c r="J182" s="85"/>
      <c r="K182" s="85"/>
      <c r="L182" s="85"/>
      <c r="M182" s="85"/>
      <c r="N182" s="85"/>
      <c r="AG182"/>
      <c r="AH182"/>
      <c r="AI182"/>
      <c r="AJ182" s="121"/>
      <c r="AK182" s="121"/>
      <c r="AL182" s="121"/>
      <c r="AM182" s="121"/>
      <c r="AN182" s="121"/>
    </row>
    <row r="183" spans="1:46" x14ac:dyDescent="0.3">
      <c r="H183" s="85"/>
      <c r="I183" s="85"/>
      <c r="J183" s="85"/>
      <c r="K183" s="85"/>
      <c r="L183" s="85"/>
      <c r="M183" s="85"/>
      <c r="N183" s="85"/>
      <c r="AH183"/>
      <c r="AI183"/>
      <c r="AK183" s="121"/>
      <c r="AL183" s="121"/>
      <c r="AM183" s="121"/>
      <c r="AN183" s="121"/>
    </row>
    <row r="184" spans="1:46" x14ac:dyDescent="0.3">
      <c r="H184" s="85"/>
      <c r="I184" s="85"/>
      <c r="J184" s="85"/>
      <c r="K184" s="85"/>
      <c r="L184" s="85"/>
      <c r="M184" s="85"/>
      <c r="N184" s="85"/>
      <c r="AG184" s="122"/>
      <c r="AH184" s="121"/>
    </row>
    <row r="185" spans="1:46" x14ac:dyDescent="0.3">
      <c r="H185" s="85"/>
      <c r="I185" s="85"/>
      <c r="J185" s="85"/>
      <c r="K185" s="85"/>
      <c r="L185" s="85"/>
      <c r="M185" s="85"/>
      <c r="N185" s="85"/>
      <c r="AG185" s="121"/>
      <c r="AH185" s="121"/>
    </row>
    <row r="186" spans="1:46" x14ac:dyDescent="0.3">
      <c r="C186" s="85"/>
      <c r="D186" s="85"/>
      <c r="E186" s="85"/>
      <c r="F186" s="85"/>
      <c r="G186" s="85"/>
      <c r="H186" s="85"/>
      <c r="I186" s="85"/>
      <c r="J186" s="85"/>
      <c r="K186" s="85"/>
      <c r="L186" s="85"/>
      <c r="M186" s="85"/>
      <c r="N186" s="85"/>
      <c r="AG186" s="121"/>
      <c r="AH186" s="121"/>
    </row>
    <row r="187" spans="1:46" x14ac:dyDescent="0.3">
      <c r="C187" s="85"/>
      <c r="D187" s="85"/>
      <c r="E187" s="85"/>
      <c r="F187" s="85"/>
      <c r="G187" s="85"/>
      <c r="H187" s="85"/>
      <c r="I187" s="85"/>
      <c r="J187" s="85"/>
      <c r="K187" s="85"/>
      <c r="L187" s="85"/>
      <c r="M187" s="85"/>
      <c r="N187" s="85"/>
      <c r="AG187"/>
      <c r="AH187"/>
    </row>
    <row r="188" spans="1:46" x14ac:dyDescent="0.3">
      <c r="A188" s="85"/>
      <c r="B188" s="85"/>
      <c r="C188" s="85"/>
      <c r="D188" s="85"/>
      <c r="E188" s="85"/>
      <c r="F188" s="85"/>
      <c r="G188" s="85"/>
      <c r="H188" s="85"/>
      <c r="I188" s="85"/>
      <c r="J188" s="85"/>
      <c r="K188" s="85"/>
      <c r="N188" s="85"/>
      <c r="AG188"/>
      <c r="AH188"/>
    </row>
    <row r="189" spans="1:46" x14ac:dyDescent="0.3">
      <c r="A189" s="85"/>
      <c r="B189" s="85"/>
      <c r="C189" s="85"/>
      <c r="D189" s="85"/>
      <c r="E189" s="85"/>
      <c r="F189" s="85"/>
      <c r="G189" s="85"/>
      <c r="H189" s="85"/>
      <c r="I189" s="85"/>
      <c r="J189" s="85"/>
      <c r="K189" s="290" t="s">
        <v>22</v>
      </c>
      <c r="L189" s="120" t="s" vm="4">
        <v>183</v>
      </c>
      <c r="N189" s="85"/>
      <c r="AG189"/>
      <c r="AH189"/>
    </row>
    <row r="190" spans="1:46" x14ac:dyDescent="0.3">
      <c r="A190" s="85"/>
      <c r="B190" s="85"/>
      <c r="C190" s="85"/>
      <c r="D190" s="85"/>
      <c r="E190" s="85"/>
      <c r="F190" s="85"/>
      <c r="G190" s="85"/>
      <c r="H190" s="85"/>
      <c r="I190" s="85"/>
      <c r="J190" s="85"/>
      <c r="K190"/>
      <c r="L190"/>
      <c r="N190" s="85"/>
      <c r="AG190"/>
      <c r="AH190"/>
    </row>
    <row r="191" spans="1:46" x14ac:dyDescent="0.3">
      <c r="A191" s="85"/>
      <c r="B191" s="85"/>
      <c r="C191" s="85"/>
      <c r="D191" s="85"/>
      <c r="E191" s="85"/>
      <c r="F191" s="85"/>
      <c r="G191" s="85"/>
      <c r="H191" s="85"/>
      <c r="I191" s="85"/>
      <c r="J191" s="85"/>
      <c r="K191" s="290" t="s">
        <v>184</v>
      </c>
      <c r="L191" s="120" t="s">
        <v>145</v>
      </c>
      <c r="M191" s="193"/>
      <c r="N191" s="195"/>
      <c r="O191" s="193"/>
      <c r="P191" s="193"/>
      <c r="Q191" s="193"/>
      <c r="R191" s="193"/>
      <c r="S191" s="195"/>
      <c r="T191" s="195"/>
      <c r="U191" s="195"/>
      <c r="V191" s="195"/>
      <c r="W191" s="195"/>
      <c r="X191" s="195"/>
      <c r="Y191" s="195"/>
      <c r="Z191" s="195"/>
      <c r="AA191" s="195"/>
      <c r="AB191" s="195"/>
      <c r="AC191" s="195"/>
      <c r="AD191" s="195"/>
      <c r="AE191" s="295"/>
      <c r="AF191" s="195"/>
      <c r="AG191" s="1"/>
      <c r="AH191" s="1"/>
      <c r="AI191" s="195"/>
      <c r="AJ191" s="195"/>
      <c r="AK191" s="195"/>
      <c r="AL191" s="195"/>
      <c r="AM191" s="195"/>
      <c r="AN191" s="195"/>
      <c r="AO191" s="195"/>
      <c r="AP191" s="195"/>
      <c r="AQ191" s="295"/>
      <c r="AR191" s="195"/>
      <c r="AS191" s="195"/>
      <c r="AT191" s="195"/>
    </row>
    <row r="192" spans="1:46" x14ac:dyDescent="0.3">
      <c r="A192" s="85"/>
      <c r="B192" s="85"/>
      <c r="C192" s="85"/>
      <c r="D192" s="85"/>
      <c r="E192" s="85"/>
      <c r="F192" s="85"/>
      <c r="G192" s="85"/>
      <c r="H192" s="85"/>
      <c r="I192" s="85"/>
      <c r="J192" s="85"/>
      <c r="K192" s="291" t="s">
        <v>69</v>
      </c>
      <c r="L192" s="292">
        <v>4335494.1179978047</v>
      </c>
      <c r="M192"/>
      <c r="N192" s="85"/>
    </row>
    <row r="193" spans="1:14" x14ac:dyDescent="0.3">
      <c r="A193" s="85"/>
      <c r="B193" s="85"/>
      <c r="C193" s="85"/>
      <c r="D193" s="85"/>
      <c r="E193" s="85"/>
      <c r="F193" s="85"/>
      <c r="G193" s="85"/>
      <c r="H193" s="85"/>
      <c r="I193" s="85"/>
      <c r="J193" s="85"/>
      <c r="K193"/>
      <c r="L193"/>
      <c r="M193"/>
      <c r="N193" s="85"/>
    </row>
    <row r="194" spans="1:14" x14ac:dyDescent="0.3">
      <c r="A194" s="85"/>
      <c r="B194" s="85"/>
      <c r="C194" s="85"/>
      <c r="D194" s="85"/>
      <c r="E194" s="85"/>
      <c r="F194" s="85"/>
      <c r="G194" s="85"/>
      <c r="H194" s="85"/>
      <c r="I194" s="85"/>
      <c r="J194" s="85"/>
      <c r="K194"/>
      <c r="L194"/>
      <c r="M194"/>
      <c r="N194" s="85"/>
    </row>
    <row r="195" spans="1:14" x14ac:dyDescent="0.3">
      <c r="A195" s="85"/>
      <c r="B195" s="85"/>
      <c r="C195" s="85"/>
      <c r="D195" s="85"/>
      <c r="E195" s="85"/>
      <c r="F195" s="85"/>
      <c r="G195" s="85"/>
      <c r="H195" s="85"/>
      <c r="I195" s="85"/>
      <c r="J195" s="85"/>
      <c r="K195" s="85"/>
      <c r="L195"/>
      <c r="M195"/>
      <c r="N195" s="85"/>
    </row>
    <row r="196" spans="1:14" x14ac:dyDescent="0.3">
      <c r="A196" s="85"/>
      <c r="B196" s="85"/>
      <c r="C196" s="85"/>
      <c r="D196" s="85"/>
      <c r="E196" s="85"/>
      <c r="F196" s="85"/>
      <c r="G196" s="85"/>
      <c r="H196" s="85"/>
      <c r="I196" s="85"/>
      <c r="J196" s="85"/>
      <c r="K196" s="120"/>
      <c r="L196" s="120"/>
      <c r="M196"/>
    </row>
    <row r="197" spans="1:14" x14ac:dyDescent="0.3">
      <c r="A197" s="85"/>
      <c r="B197" s="85"/>
      <c r="C197" s="85"/>
      <c r="D197" s="85"/>
      <c r="E197" s="85"/>
      <c r="F197" s="85"/>
      <c r="G197" s="85"/>
      <c r="H197" s="85"/>
      <c r="I197" s="85"/>
      <c r="J197" s="85"/>
      <c r="K197" s="85"/>
    </row>
    <row r="198" spans="1:14" x14ac:dyDescent="0.3">
      <c r="A198" s="85"/>
      <c r="B198" s="85"/>
      <c r="C198" s="85"/>
      <c r="D198" s="85"/>
      <c r="E198" s="85"/>
      <c r="F198" s="85"/>
      <c r="G198" s="85"/>
      <c r="H198" s="85"/>
      <c r="I198" s="85"/>
      <c r="J198" s="85"/>
      <c r="K198"/>
      <c r="L198"/>
      <c r="M198"/>
    </row>
    <row r="199" spans="1:14" x14ac:dyDescent="0.3">
      <c r="A199" s="85"/>
      <c r="B199" s="85"/>
      <c r="C199" s="85"/>
      <c r="D199" s="85"/>
      <c r="E199" s="85"/>
      <c r="F199" s="85"/>
      <c r="G199" s="85"/>
      <c r="H199" s="85"/>
      <c r="I199" s="85"/>
      <c r="J199" s="85"/>
      <c r="K199"/>
      <c r="L199"/>
      <c r="M199"/>
    </row>
    <row r="200" spans="1:14" x14ac:dyDescent="0.3">
      <c r="A200" s="85"/>
      <c r="B200" s="85"/>
      <c r="I200" s="85"/>
      <c r="J200" s="85"/>
      <c r="K200"/>
      <c r="L200"/>
      <c r="M200"/>
    </row>
    <row r="201" spans="1:14" x14ac:dyDescent="0.3">
      <c r="A201" s="85"/>
      <c r="B201" s="85"/>
      <c r="C201" s="85"/>
      <c r="D201" s="85"/>
      <c r="E201" s="85"/>
      <c r="F201" s="85"/>
      <c r="G201" s="85"/>
      <c r="H201" s="85"/>
      <c r="I201" s="85"/>
      <c r="J201" s="85"/>
      <c r="K201"/>
      <c r="L201"/>
      <c r="M201"/>
    </row>
    <row r="202" spans="1:14" x14ac:dyDescent="0.3">
      <c r="C202" s="85"/>
      <c r="D202" s="85"/>
      <c r="E202" s="85"/>
      <c r="F202" s="85"/>
      <c r="G202" s="85"/>
      <c r="H202" s="85"/>
      <c r="K202"/>
      <c r="L202"/>
      <c r="M202"/>
    </row>
    <row r="203" spans="1:14" x14ac:dyDescent="0.3">
      <c r="C203" s="85"/>
      <c r="D203" s="85"/>
      <c r="E203" s="85"/>
      <c r="F203" s="85"/>
      <c r="G203" s="85"/>
      <c r="H203" s="85"/>
      <c r="I203" s="85"/>
      <c r="J203" s="85"/>
      <c r="K203"/>
      <c r="L203"/>
      <c r="M203"/>
    </row>
    <row r="204" spans="1:14" x14ac:dyDescent="0.3">
      <c r="C204" s="85"/>
      <c r="D204" s="85"/>
      <c r="E204" s="85"/>
      <c r="F204" s="85"/>
      <c r="G204" s="85"/>
      <c r="H204" s="85"/>
      <c r="I204" s="85"/>
      <c r="J204" s="85"/>
      <c r="K204"/>
      <c r="L204"/>
      <c r="M204"/>
    </row>
    <row r="205" spans="1:14" x14ac:dyDescent="0.3">
      <c r="C205" s="85"/>
      <c r="D205" s="85"/>
      <c r="E205" s="85"/>
      <c r="F205" s="85"/>
      <c r="G205" s="85"/>
      <c r="H205" s="85"/>
      <c r="I205" s="85"/>
      <c r="J205" s="85"/>
      <c r="K205"/>
      <c r="L205"/>
      <c r="M205"/>
    </row>
    <row r="206" spans="1:14" x14ac:dyDescent="0.3">
      <c r="C206" s="85"/>
      <c r="D206" s="85"/>
      <c r="E206" s="85"/>
      <c r="F206" s="85"/>
      <c r="G206" s="85"/>
      <c r="H206" s="85"/>
      <c r="I206" s="85"/>
      <c r="J206" s="85"/>
      <c r="K206"/>
      <c r="L206"/>
      <c r="M206"/>
    </row>
    <row r="207" spans="1:14" x14ac:dyDescent="0.3">
      <c r="C207" s="85"/>
      <c r="D207" s="85"/>
      <c r="E207" s="85"/>
      <c r="F207" s="85"/>
      <c r="G207" s="85"/>
      <c r="H207" s="85"/>
      <c r="I207" s="85"/>
      <c r="J207" s="85"/>
      <c r="K207"/>
      <c r="L207"/>
      <c r="M207"/>
    </row>
    <row r="208" spans="1:14" x14ac:dyDescent="0.3">
      <c r="C208" s="85"/>
      <c r="D208" s="85"/>
      <c r="E208" s="85"/>
      <c r="F208" s="85"/>
      <c r="G208" s="85"/>
      <c r="H208" s="85"/>
      <c r="I208" s="85"/>
      <c r="J208" s="85"/>
      <c r="K208"/>
      <c r="L208"/>
      <c r="M208"/>
    </row>
    <row r="209" spans="3:13" x14ac:dyDescent="0.3">
      <c r="C209" s="85"/>
      <c r="D209" s="85"/>
      <c r="E209" s="85"/>
      <c r="F209" s="85"/>
      <c r="G209" s="85"/>
      <c r="H209" s="85"/>
      <c r="I209" s="85"/>
      <c r="J209" s="85"/>
      <c r="K209"/>
      <c r="L209"/>
      <c r="M209"/>
    </row>
    <row r="210" spans="3:13" x14ac:dyDescent="0.3">
      <c r="C210" s="85"/>
      <c r="D210" s="85"/>
      <c r="E210" s="85"/>
      <c r="F210" s="85"/>
      <c r="G210" s="85"/>
      <c r="H210" s="85"/>
      <c r="I210" s="85"/>
      <c r="J210" s="85"/>
      <c r="K210"/>
      <c r="L210"/>
      <c r="M210"/>
    </row>
    <row r="211" spans="3:13" x14ac:dyDescent="0.3">
      <c r="C211" s="85"/>
      <c r="D211" s="85"/>
      <c r="E211" s="85"/>
      <c r="F211" s="85"/>
      <c r="G211" s="85"/>
      <c r="H211" s="85"/>
      <c r="I211" s="85"/>
      <c r="J211" s="85"/>
      <c r="K211"/>
      <c r="L211"/>
      <c r="M211"/>
    </row>
    <row r="212" spans="3:13" x14ac:dyDescent="0.3">
      <c r="C212" s="85"/>
      <c r="D212" s="85"/>
      <c r="E212" s="85"/>
      <c r="F212" s="85"/>
      <c r="G212" s="85"/>
      <c r="H212" s="85"/>
      <c r="I212" s="85"/>
      <c r="J212" s="85"/>
      <c r="K212"/>
      <c r="L212"/>
      <c r="M212"/>
    </row>
    <row r="213" spans="3:13" x14ac:dyDescent="0.3">
      <c r="C213" s="85"/>
      <c r="D213" s="85"/>
      <c r="E213" s="85"/>
      <c r="F213" s="85"/>
      <c r="G213" s="85"/>
      <c r="H213" s="85"/>
      <c r="I213" s="85"/>
      <c r="J213" s="85"/>
      <c r="K213"/>
      <c r="L213"/>
      <c r="M213"/>
    </row>
    <row r="214" spans="3:13" x14ac:dyDescent="0.3">
      <c r="C214" s="85"/>
      <c r="D214" s="85"/>
      <c r="E214" s="85"/>
      <c r="F214" s="85"/>
      <c r="G214" s="85"/>
      <c r="H214" s="85"/>
      <c r="I214" s="85"/>
      <c r="J214" s="85"/>
      <c r="K214"/>
      <c r="L214"/>
      <c r="M214"/>
    </row>
    <row r="215" spans="3:13" x14ac:dyDescent="0.3">
      <c r="C215" s="85"/>
      <c r="D215" s="85"/>
      <c r="E215" s="85"/>
      <c r="F215" s="85"/>
      <c r="G215" s="85"/>
      <c r="H215" s="85"/>
      <c r="I215" s="85"/>
      <c r="J215" s="85"/>
      <c r="K215"/>
      <c r="L215"/>
      <c r="M215"/>
    </row>
    <row r="216" spans="3:13" x14ac:dyDescent="0.3">
      <c r="C216" s="85"/>
      <c r="D216" s="85"/>
      <c r="E216" s="85"/>
      <c r="F216" s="85"/>
      <c r="G216" s="85"/>
      <c r="H216" s="85"/>
      <c r="I216" s="85"/>
      <c r="J216" s="85"/>
    </row>
    <row r="217" spans="3:13" x14ac:dyDescent="0.3">
      <c r="C217" s="85"/>
      <c r="D217" s="85"/>
      <c r="E217" s="85"/>
      <c r="F217" s="85"/>
      <c r="G217" s="85"/>
      <c r="H217" s="85"/>
      <c r="I217" s="85"/>
      <c r="J217" s="85"/>
    </row>
    <row r="218" spans="3:13" x14ac:dyDescent="0.3">
      <c r="C218" s="85"/>
      <c r="D218" s="85"/>
      <c r="E218" s="85"/>
      <c r="F218" s="85"/>
      <c r="G218" s="85"/>
      <c r="H218" s="85"/>
      <c r="I218" s="85"/>
      <c r="J218" s="85"/>
    </row>
    <row r="219" spans="3:13" x14ac:dyDescent="0.3">
      <c r="C219" s="85"/>
      <c r="D219" s="85"/>
      <c r="E219" s="85"/>
      <c r="F219" s="85"/>
      <c r="G219" s="85"/>
      <c r="H219" s="85"/>
      <c r="I219" s="85"/>
      <c r="J219" s="85"/>
    </row>
    <row r="220" spans="3:13" x14ac:dyDescent="0.3">
      <c r="C220" s="85"/>
      <c r="D220" s="85"/>
      <c r="E220" s="85"/>
      <c r="F220" s="85"/>
      <c r="G220" s="85"/>
      <c r="H220" s="85"/>
      <c r="I220" s="85"/>
      <c r="J220" s="85"/>
    </row>
    <row r="221" spans="3:13" x14ac:dyDescent="0.3">
      <c r="C221" s="85"/>
      <c r="D221" s="85"/>
      <c r="E221" s="85"/>
      <c r="F221" s="85"/>
      <c r="G221" s="85"/>
      <c r="H221" s="85"/>
      <c r="I221" s="85"/>
      <c r="J221" s="85"/>
    </row>
    <row r="222" spans="3:13" x14ac:dyDescent="0.3">
      <c r="C222" s="85"/>
      <c r="D222" s="85"/>
      <c r="E222" s="85"/>
      <c r="F222" s="85"/>
      <c r="G222" s="85"/>
      <c r="H222" s="85"/>
      <c r="I222" s="85"/>
      <c r="J222" s="85"/>
    </row>
    <row r="223" spans="3:13" x14ac:dyDescent="0.3">
      <c r="C223" s="85"/>
      <c r="D223" s="85"/>
      <c r="E223" s="85"/>
      <c r="F223" s="85"/>
      <c r="G223" s="85"/>
      <c r="H223" s="85"/>
      <c r="I223" s="85"/>
      <c r="J223" s="85"/>
    </row>
    <row r="224" spans="3:13" x14ac:dyDescent="0.3">
      <c r="E224" s="212"/>
      <c r="I224" s="85"/>
      <c r="J224" s="85"/>
    </row>
    <row r="225" spans="9:10" x14ac:dyDescent="0.3">
      <c r="I225" s="85"/>
      <c r="J225" s="85"/>
    </row>
    <row r="226" spans="9:10" x14ac:dyDescent="0.3">
      <c r="I226" s="85"/>
    </row>
    <row r="227" spans="9:10" x14ac:dyDescent="0.3">
      <c r="I227" s="85"/>
    </row>
    <row r="228" spans="9:10" x14ac:dyDescent="0.3">
      <c r="I228" s="85"/>
    </row>
  </sheetData>
  <phoneticPr fontId="7" type="noConversion"/>
  <pageMargins left="0.7" right="0.7" top="0.75" bottom="0.75" header="0.3" footer="0.3"/>
  <pageSetup paperSize="9" orientation="portrait" r:id="rId13"/>
  <drawing r:id="rId14"/>
  <tableParts count="2">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Y Z a U s t b p Y K k A A A A 9 Q A A A B I A H A B D b 2 5 m a W c v U G F j a 2 F n Z S 5 4 b W w g o h g A K K A U A A A A A A A A A A A A A A A A A A A A A A A A A A A A h Y + 9 D o I w H M R f h X T v B + h A y J 8 y G D d J T E i M a 1 M q N E I x t F D e z c F H 8 h X E K O r m e P e 7 S + 7 u 1 x t k U 9 s E o + q t 7 k y K Q s J Q o I z s S m 2 q F A 3 u h G O U c d g L e R a V C u a w s c l k d Y p q 5 y 4 J p d 5 7 4 l e k 6 y s a M R b S Y 7 4 r Z K 1 a g b W x T h i p 0 K d V / m 8 h D o f X G B 6 R e E 1 i N k 8 C u n i Q a / P l 0 c y e 9 M e E z d C 4 o V f c j r j Y A l 0 k 0 P c F / g B Q S w M E F A A C A A g A i Y Z a 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G W l I o i k e 4 D g A A A B E A A A A T A B w A R m 9 y b X V s Y X M v U 2 V j d G l v b j E u b S C i G A A o o B Q A A A A A A A A A A A A A A A A A A A A A A A A A A A A r T k 0 u y c z P U w i G 0 I b W A F B L A Q I t A B Q A A g A I A I m G W l L L W 6 W C p A A A A P U A A A A S A A A A A A A A A A A A A A A A A A A A A A B D b 2 5 m a W c v U G F j a 2 F n Z S 5 4 b W x Q S w E C L Q A U A A I A C A C J h l p S D 8 r p q 6 Q A A A D p A A A A E w A A A A A A A A A A A A A A A A D w A A A A W 0 N v b n R l b n R f V H l w Z X N d L n h t b F B L A Q I t A B Q A A g A I A I m G W l 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C Q u p Q N q k Q K O k M Y R h C T F R A A A A A A I A A A A A A A N m A A D A A A A A E A A A A M c Y i v x e 3 a Y q P 6 w W T P h J 9 D U A A A A A B I A A A K A A A A A Q A A A A 9 h W m O N 8 P 5 z b y U T 7 O 0 L E y / F A A A A A 4 V J D J T H I M i F Y E U c q S q C Z 0 f d x s x L Z 0 r Z v c o J V a d y 8 L Q h / R J / i Z L Z q 4 f W C 7 u E 5 M x 2 a n d m b f v F w W h C m + d u P c d B H 2 / g P C z P k s c Z v Q T 4 0 F t 5 h S a B Q A A A D p f N 2 D N g 7 8 X / O f 0 D j s 5 h A Y 7 A e a r w = = < / D a t a M a s h u p > 
</file>

<file path=customXml/itemProps1.xml><?xml version="1.0" encoding="utf-8"?>
<ds:datastoreItem xmlns:ds="http://schemas.openxmlformats.org/officeDocument/2006/customXml" ds:itemID="{1EE1AA45-68BB-496D-8F48-F1E53BC47FE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Försättsblad</vt:lpstr>
      <vt:lpstr>Räkna på nyttor</vt:lpstr>
      <vt:lpstr>Nyttor</vt:lpstr>
      <vt:lpstr>Räkna på kostnader</vt:lpstr>
      <vt:lpstr>Kostnader</vt:lpstr>
      <vt:lpstr>Nyttokalkyl</vt:lpstr>
      <vt:lpstr>Admin</vt:lpstr>
      <vt:lpstr>Diskonteringsränta</vt:lpstr>
      <vt:lpstr>NettoNytta</vt:lpstr>
      <vt:lpstr>Startår</vt:lpstr>
      <vt:lpstr>TotalKostnad</vt:lpstr>
      <vt:lpstr>TotalNettoNytta</vt:lpstr>
      <vt:lpstr>TotalNytta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2022-04-25T14:12:14Z</dcterms:modified>
</cp:coreProperties>
</file>